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020" windowWidth="20550" windowHeight="4080" activeTab="1"/>
  </bookViews>
  <sheets>
    <sheet name="Metas Anuais" sheetId="17" r:id="rId1"/>
    <sheet name="Metodologia Metas Anuais" sheetId="18" r:id="rId2"/>
  </sheets>
  <externalReferences>
    <externalReference r:id="rId3"/>
    <externalReference r:id="rId4"/>
  </externalReferences>
  <definedNames>
    <definedName name="_xlnm.Print_Area" localSheetId="0">'Metas Anuais'!$A$1:$J$27</definedName>
    <definedName name="_xlnm.Print_Area" localSheetId="1">'Metodologia Metas Anuais'!$A$1:$J$52</definedName>
  </definedNames>
  <calcPr calcId="125725"/>
</workbook>
</file>

<file path=xl/calcChain.xml><?xml version="1.0" encoding="utf-8"?>
<calcChain xmlns="http://schemas.openxmlformats.org/spreadsheetml/2006/main">
  <c r="D39" i="18"/>
  <c r="D38"/>
  <c r="D37"/>
  <c r="D30"/>
  <c r="D29"/>
  <c r="D27"/>
  <c r="D35" s="1"/>
  <c r="D19"/>
  <c r="D16"/>
  <c r="D15"/>
  <c r="D14"/>
  <c r="D18" s="1"/>
  <c r="D13" s="1"/>
  <c r="D24" s="1"/>
  <c r="D36" s="1"/>
  <c r="I33" l="1"/>
  <c r="I32"/>
  <c r="I31"/>
  <c r="I29"/>
  <c r="I28"/>
  <c r="G33"/>
  <c r="G32"/>
  <c r="G31"/>
  <c r="G29"/>
  <c r="G28"/>
  <c r="I30"/>
  <c r="G30"/>
  <c r="E33"/>
  <c r="E32"/>
  <c r="E31"/>
  <c r="E29"/>
  <c r="E28"/>
  <c r="I23"/>
  <c r="I22"/>
  <c r="I21"/>
  <c r="I20"/>
  <c r="G23"/>
  <c r="G22"/>
  <c r="G21"/>
  <c r="G20"/>
  <c r="E20"/>
  <c r="E23"/>
  <c r="E22"/>
  <c r="E21"/>
  <c r="H17"/>
  <c r="I16"/>
  <c r="G16"/>
  <c r="E16"/>
  <c r="I39"/>
  <c r="J39" s="1"/>
  <c r="I38"/>
  <c r="J38" s="1"/>
  <c r="G38"/>
  <c r="H38" s="1"/>
  <c r="G39"/>
  <c r="H39" s="1"/>
  <c r="E39"/>
  <c r="F39" s="1"/>
  <c r="E38"/>
  <c r="F38" s="1"/>
  <c r="E37" l="1"/>
  <c r="G37"/>
  <c r="H37" s="1"/>
  <c r="I37"/>
  <c r="J37" s="1"/>
  <c r="H20" i="17"/>
  <c r="E20"/>
  <c r="B20"/>
  <c r="C20" s="1"/>
  <c r="F37" i="18" l="1"/>
  <c r="C39"/>
  <c r="C38"/>
  <c r="C37"/>
  <c r="C33"/>
  <c r="C32"/>
  <c r="C31"/>
  <c r="C29"/>
  <c r="C28"/>
  <c r="C23"/>
  <c r="C22"/>
  <c r="C21"/>
  <c r="C20"/>
  <c r="C13"/>
  <c r="B19"/>
  <c r="B30"/>
  <c r="F26" i="17" l="1"/>
  <c r="D26"/>
  <c r="B26"/>
  <c r="F25"/>
  <c r="D25"/>
  <c r="B25"/>
  <c r="I15" l="1"/>
  <c r="C15"/>
  <c r="J32" i="18"/>
  <c r="J31"/>
  <c r="H32"/>
  <c r="H31"/>
  <c r="F34"/>
  <c r="F33"/>
  <c r="F32"/>
  <c r="F31"/>
  <c r="F30"/>
  <c r="E30"/>
  <c r="C30"/>
  <c r="C27"/>
  <c r="C35"/>
  <c r="C19"/>
  <c r="C24"/>
  <c r="C36"/>
  <c r="I20" i="17"/>
  <c r="I19"/>
  <c r="F20"/>
  <c r="F19"/>
  <c r="C19"/>
  <c r="I17"/>
  <c r="H17"/>
  <c r="F17"/>
  <c r="E17"/>
  <c r="C17"/>
  <c r="B17"/>
  <c r="F16" i="18"/>
  <c r="H16"/>
  <c r="J16"/>
  <c r="F17"/>
  <c r="J17"/>
  <c r="H20"/>
  <c r="J20"/>
  <c r="F22"/>
  <c r="H22"/>
  <c r="J22"/>
  <c r="F23"/>
  <c r="H23"/>
  <c r="J23"/>
  <c r="H33"/>
  <c r="J33"/>
  <c r="J34"/>
  <c r="D17" i="17"/>
  <c r="G17"/>
  <c r="J17"/>
  <c r="D19"/>
  <c r="G19"/>
  <c r="J19"/>
  <c r="D20"/>
  <c r="G20"/>
  <c r="J20"/>
  <c r="B21"/>
  <c r="C21"/>
  <c r="D21"/>
  <c r="E21"/>
  <c r="F21"/>
  <c r="G21"/>
  <c r="H21"/>
  <c r="I21"/>
  <c r="J21"/>
  <c r="F20" i="18"/>
  <c r="B15" i="17"/>
  <c r="D15"/>
  <c r="J30" i="18"/>
  <c r="H30"/>
  <c r="H15" i="17"/>
  <c r="J15"/>
  <c r="F15"/>
  <c r="E15"/>
  <c r="G15"/>
  <c r="C16" l="1"/>
  <c r="B16"/>
  <c r="D16" s="1"/>
  <c r="F16" l="1"/>
  <c r="E16"/>
  <c r="G16" s="1"/>
  <c r="I16" l="1"/>
  <c r="H16"/>
  <c r="J16" s="1"/>
  <c r="F21" i="18" l="1"/>
  <c r="F19" s="1"/>
  <c r="E19"/>
  <c r="G19" l="1"/>
  <c r="H21"/>
  <c r="H19" s="1"/>
  <c r="I19" l="1"/>
  <c r="J21"/>
  <c r="J19" s="1"/>
  <c r="E12" l="1"/>
  <c r="G12" l="1"/>
  <c r="I12"/>
  <c r="F29" l="1"/>
  <c r="F28"/>
  <c r="E27"/>
  <c r="B12" i="17" l="1"/>
  <c r="D12" s="1"/>
  <c r="E35" i="18"/>
  <c r="F27"/>
  <c r="B13" i="17" l="1"/>
  <c r="F35" i="18"/>
  <c r="C12" i="17"/>
  <c r="C13"/>
  <c r="D13"/>
  <c r="H29" i="18" l="1"/>
  <c r="H28"/>
  <c r="G27"/>
  <c r="J29"/>
  <c r="J28"/>
  <c r="I27"/>
  <c r="H12" i="17" l="1"/>
  <c r="J12" s="1"/>
  <c r="I35" i="18"/>
  <c r="G35"/>
  <c r="E12" i="17"/>
  <c r="G12" s="1"/>
  <c r="J27" i="18"/>
  <c r="H27"/>
  <c r="H13" i="17" l="1"/>
  <c r="J35" i="18"/>
  <c r="E13" i="17"/>
  <c r="H35" i="18"/>
  <c r="F12" i="17"/>
  <c r="F13"/>
  <c r="I12"/>
  <c r="I13"/>
  <c r="G13"/>
  <c r="J13"/>
  <c r="E15" i="18" l="1"/>
  <c r="G15"/>
  <c r="I15"/>
  <c r="I14" l="1"/>
  <c r="I18" s="1"/>
  <c r="J15"/>
  <c r="J14" s="1"/>
  <c r="G14"/>
  <c r="G18" s="1"/>
  <c r="H15"/>
  <c r="H14" s="1"/>
  <c r="E14"/>
  <c r="E18" s="1"/>
  <c r="F15"/>
  <c r="F14" s="1"/>
  <c r="J18" l="1"/>
  <c r="J13" s="1"/>
  <c r="I13"/>
  <c r="H18"/>
  <c r="H13" s="1"/>
  <c r="G13"/>
  <c r="F18"/>
  <c r="F13" s="1"/>
  <c r="E13"/>
  <c r="H10" i="17" l="1"/>
  <c r="J10" s="1"/>
  <c r="I24" i="18"/>
  <c r="I10" i="17"/>
  <c r="J24" i="18"/>
  <c r="I11" i="17" s="1"/>
  <c r="I14" s="1"/>
  <c r="G24" i="18"/>
  <c r="E10" i="17"/>
  <c r="G10" s="1"/>
  <c r="F10"/>
  <c r="H24" i="18"/>
  <c r="F11" i="17" s="1"/>
  <c r="F14" s="1"/>
  <c r="E24" i="18"/>
  <c r="B10" i="17"/>
  <c r="D10" s="1"/>
  <c r="C10"/>
  <c r="F24" i="18"/>
  <c r="C11" i="17" s="1"/>
  <c r="C14" s="1"/>
  <c r="H11" l="1"/>
  <c r="I36" i="18"/>
  <c r="E11" i="17"/>
  <c r="G36" i="18"/>
  <c r="B11" i="17"/>
  <c r="E36" i="18"/>
  <c r="F36" l="1"/>
  <c r="H36"/>
  <c r="J36"/>
  <c r="J11" i="17"/>
  <c r="H14"/>
  <c r="J14" s="1"/>
  <c r="G11"/>
  <c r="E14"/>
  <c r="G14" s="1"/>
  <c r="D11"/>
  <c r="B14"/>
  <c r="D14" s="1"/>
</calcChain>
</file>

<file path=xl/sharedStrings.xml><?xml version="1.0" encoding="utf-8"?>
<sst xmlns="http://schemas.openxmlformats.org/spreadsheetml/2006/main" count="100" uniqueCount="90">
  <si>
    <t>ANEXO DE METAS FISCAIS</t>
  </si>
  <si>
    <t>I - RECEITAS FISCAIS</t>
  </si>
  <si>
    <t xml:space="preserve">      I.1.1 - Receitas de Origem Tributária</t>
  </si>
  <si>
    <t xml:space="preserve">    I.2 - Deduções (Receitas Financeiras)</t>
  </si>
  <si>
    <t xml:space="preserve">       I.2.4 - Amortizações</t>
  </si>
  <si>
    <t>II - DESPESAS FISCAIS</t>
  </si>
  <si>
    <t xml:space="preserve">    II.2 - Deduções (Despesas Financeiras)</t>
  </si>
  <si>
    <t xml:space="preserve">           II.2.3 - Concessão de Empréstimos</t>
  </si>
  <si>
    <t xml:space="preserve">           II.2.4 - Aquis.de Título de Capital já Integr.</t>
  </si>
  <si>
    <t>NOTAS:</t>
  </si>
  <si>
    <t>Observações:</t>
  </si>
  <si>
    <t xml:space="preserve">    I.1 - Receitas Correntes + Capital (C)</t>
  </si>
  <si>
    <t>Total das Receitas Fiscais (I.1 - I.2) (A)</t>
  </si>
  <si>
    <t xml:space="preserve">    II.1 - Despesas Correntes + Capital (D)</t>
  </si>
  <si>
    <t>Total das Despesas Fiscais (II.1 - II.2) (B)</t>
  </si>
  <si>
    <r>
      <t xml:space="preserve">      I.1.2 - Transferências da União</t>
    </r>
    <r>
      <rPr>
        <b/>
        <vertAlign val="superscript"/>
        <sz val="10"/>
        <rFont val="Arial"/>
        <family val="2"/>
      </rPr>
      <t xml:space="preserve"> (2)</t>
    </r>
  </si>
  <si>
    <t>PROJEÇÃO</t>
  </si>
  <si>
    <t>PIB (P3)</t>
  </si>
  <si>
    <t>ANEXO II</t>
  </si>
  <si>
    <t>ESPECIFICAÇÃO</t>
  </si>
  <si>
    <t>PIB (P1)</t>
  </si>
  <si>
    <t>PIB (P2)</t>
  </si>
  <si>
    <t>IPCA (I1)</t>
  </si>
  <si>
    <t>IPCA (I2)</t>
  </si>
  <si>
    <t>IPCA (I3)</t>
  </si>
  <si>
    <t>2) Preços Constantes: a conversão de valores correntes para constantes foi realizada com o uso do IPCA, trazendo os valores das metas anuais para valores praticados no ano anterior ao ano de referência da LDO.</t>
  </si>
  <si>
    <t>Metodologia de cálculo das METAS E PROJEÇÕES FISCAIS</t>
  </si>
  <si>
    <t>(Art. 4º, § 1º, da Lei Complementar nº 101, de 2000)</t>
  </si>
  <si>
    <t>III - RESULTADO PRIMÁRIO (A- B)</t>
  </si>
  <si>
    <t>IPCA (% anual)</t>
  </si>
  <si>
    <t>PIB real (crescimento % anual)</t>
  </si>
  <si>
    <t>VARIÁVEIS</t>
  </si>
  <si>
    <t>Dívida Pública Consolidada</t>
  </si>
  <si>
    <t xml:space="preserve">Resultado Nominal </t>
  </si>
  <si>
    <t>Resultado Primário (III) = (I - II)</t>
  </si>
  <si>
    <t>Despesas Primárias (II)</t>
  </si>
  <si>
    <t>Despesa Total</t>
  </si>
  <si>
    <t>Receitas Primárias (I)</t>
  </si>
  <si>
    <t>Receita Total</t>
  </si>
  <si>
    <t>% PIB        (c/PIB) x 100</t>
  </si>
  <si>
    <t xml:space="preserve">Valor Constante             </t>
  </si>
  <si>
    <t>Valor Corrente              (c)</t>
  </si>
  <si>
    <t>% PIB        (b/PIB) x 100</t>
  </si>
  <si>
    <t>Valor Corrente              (b)</t>
  </si>
  <si>
    <t>% PIB        (a/PIB) x 100</t>
  </si>
  <si>
    <t>Valor Corrente              (a)</t>
  </si>
  <si>
    <r>
      <t xml:space="preserve">      I.1.3 -  Demais Receitas </t>
    </r>
    <r>
      <rPr>
        <b/>
        <vertAlign val="superscript"/>
        <sz val="10"/>
        <rFont val="Arial"/>
        <family val="2"/>
      </rPr>
      <t>(3)</t>
    </r>
  </si>
  <si>
    <r>
      <t xml:space="preserve">           II.1.1 - Pessoal e encargos</t>
    </r>
    <r>
      <rPr>
        <vertAlign val="superscript"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(6)</t>
    </r>
  </si>
  <si>
    <r>
      <t xml:space="preserve">           II.1.2 - Demais Despesas </t>
    </r>
    <r>
      <rPr>
        <b/>
        <vertAlign val="superscript"/>
        <sz val="10"/>
        <rFont val="Arial"/>
        <family val="2"/>
      </rPr>
      <t>(3)</t>
    </r>
  </si>
  <si>
    <r>
      <t xml:space="preserve">           II.2.1 - Juros e Encargos da Dívida </t>
    </r>
    <r>
      <rPr>
        <vertAlign val="superscript"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(5)</t>
    </r>
  </si>
  <si>
    <r>
      <t xml:space="preserve">           II.2.2 - Amortização da Dívida </t>
    </r>
    <r>
      <rPr>
        <b/>
        <vertAlign val="superscript"/>
        <sz val="10"/>
        <rFont val="Arial"/>
        <family val="2"/>
      </rPr>
      <t xml:space="preserve"> (5)</t>
    </r>
  </si>
  <si>
    <t>R$ mil</t>
  </si>
  <si>
    <t>R$ milhares</t>
  </si>
  <si>
    <t>Projeção do PIB da União - R$ milhares</t>
  </si>
  <si>
    <t>Dívida Consolidada Líquida</t>
  </si>
  <si>
    <t>Receitas Primárias advindas de PPP (IV)</t>
  </si>
  <si>
    <t>Despesas Primárias geradas por PPP (V)</t>
  </si>
  <si>
    <t>Impacto do saldo das PPP (VI) = (IV - V)</t>
  </si>
  <si>
    <r>
      <t xml:space="preserve">VI - DÍVIDA CONSOLIDADA LÍQUIDA </t>
    </r>
    <r>
      <rPr>
        <b/>
        <vertAlign val="superscript"/>
        <sz val="10"/>
        <rFont val="Arial"/>
        <family val="2"/>
      </rPr>
      <t>(5)</t>
    </r>
  </si>
  <si>
    <r>
      <t xml:space="preserve">V - DÍVIDA PUBLICA CONSOLIDADA </t>
    </r>
    <r>
      <rPr>
        <b/>
        <vertAlign val="superscript"/>
        <sz val="10"/>
        <rFont val="Arial"/>
        <family val="2"/>
      </rPr>
      <t>(5)</t>
    </r>
  </si>
  <si>
    <t>cenário macroeconômico considerado:</t>
  </si>
  <si>
    <r>
      <t xml:space="preserve">       I.2.1 - Aplicações Financeiras </t>
    </r>
    <r>
      <rPr>
        <b/>
        <vertAlign val="superscript"/>
        <sz val="10"/>
        <rFont val="Arial"/>
        <family val="2"/>
      </rPr>
      <t>(4)</t>
    </r>
  </si>
  <si>
    <t>ANEXO II - METODOLOGIA</t>
  </si>
  <si>
    <r>
      <t xml:space="preserve">       I.2.2 - Operações de Crédito </t>
    </r>
    <r>
      <rPr>
        <b/>
        <vertAlign val="superscript"/>
        <sz val="10"/>
        <rFont val="Arial"/>
        <family val="2"/>
      </rPr>
      <t>(5)</t>
    </r>
  </si>
  <si>
    <t xml:space="preserve">       I.2.3 - Alienação de Bens</t>
  </si>
  <si>
    <t>corrente                       (A)</t>
  </si>
  <si>
    <t>constante                    (B)  = A/I1</t>
  </si>
  <si>
    <t>corrente                       (C) = A*P2*I2</t>
  </si>
  <si>
    <t>constante                    (D)  = C/I1/I2</t>
  </si>
  <si>
    <t>corrente                       (E) = C*P2*I2</t>
  </si>
  <si>
    <t>constante                    (F)  = E/I1/I2/I3</t>
  </si>
  <si>
    <t xml:space="preserve">REALIZADO </t>
  </si>
  <si>
    <t>corrente</t>
  </si>
  <si>
    <t>4) O cálculo das Metas Anuais foi efetuado em conformidade com a metodologia estabelecida pelo Governo Federal, normatizada pela Secretaria do Tesouro Nacional e são apenas indicativas.</t>
  </si>
  <si>
    <t xml:space="preserve">IV - RESULTADO NOMINAL </t>
  </si>
  <si>
    <t>1) Para o cálculo do resultado nominal adotou-se o critério "abaixo da linha" que representa a diferença entre o saldo da dívida fiscal líquida no final de determinado ano em relação ao apurado no final do ano anterior.</t>
  </si>
  <si>
    <r>
      <t>(3)</t>
    </r>
    <r>
      <rPr>
        <sz val="10"/>
        <rFont val="Arial"/>
        <family val="2"/>
      </rPr>
      <t xml:space="preserve"> Os ajustes necessários para atingir o equilíbrio orçamentário, onde receita deve ser igual a despesa, foram alocados nas demais despesas (item II.1.2).</t>
    </r>
  </si>
  <si>
    <r>
      <t>(5)</t>
    </r>
    <r>
      <rPr>
        <sz val="10"/>
        <rFont val="Arial"/>
        <family val="2"/>
      </rPr>
      <t xml:space="preserve"> Os valores das Operações de Crédito, de Juros e Encargos da Dívida, da Amortização da Dívida, da Dívida Pública Consolidada e Dívída Consolidada Líquida, em valores correntes, foram informados pela Subsecretaria do Tesouro/SEF.</t>
    </r>
  </si>
  <si>
    <r>
      <t>(4)</t>
    </r>
    <r>
      <rPr>
        <sz val="10"/>
        <rFont val="Arial"/>
        <family val="2"/>
      </rPr>
      <t xml:space="preserve"> Foram consideradas como aplicações financeiras o total das contas: 1325.00.00 - remuneração de depósitos bancários das receitas patrimoniais e 1328.00.00 - remuneração dos investimentos do regime proprio de previdências dos servidores públicos do Distrito Federal.</t>
    </r>
  </si>
  <si>
    <r>
      <t>(2)</t>
    </r>
    <r>
      <rPr>
        <sz val="10"/>
        <rFont val="Arial"/>
        <family val="2"/>
      </rPr>
      <t xml:space="preserve"> Após a instituição do Fundo Constitucional pela Lei 10.633/2002 os recursos destinados a atender as áreas de segurança, saúde e educação são gerenciados diretamente pela Esfera Federal, motivo pelo qual não consta do sistema contábil do Distrito Federal.</t>
    </r>
  </si>
  <si>
    <t>RREO</t>
  </si>
  <si>
    <t>METAS ANUAIS</t>
  </si>
  <si>
    <t>LEI DE DIRETRIZES ORÇAMENTÁRIAS 2014</t>
  </si>
  <si>
    <r>
      <t>(1)</t>
    </r>
    <r>
      <rPr>
        <sz val="10"/>
        <rFont val="Arial"/>
        <family val="2"/>
      </rPr>
      <t xml:space="preserve"> As estimativas das Receitas de Origem Tributária, constituídas de impostos, taxas, dívida ativa dos tributos, multas e juros de mora dos tributos e da dívida ativa, para o período de 2014 à 2016, valores correntes, foram informados pela Secretaria de Estado de Fazenda.</t>
    </r>
  </si>
  <si>
    <t>3) As expectativas de mercado para a taxa de inflação (IPCA) e PIB, foram obtidos no site do Banco Central do Brasil, na data de referência 26/04/2013.</t>
  </si>
  <si>
    <t>AMF - Demonstrativo I (LRF, Art. 4º, § 1º)</t>
  </si>
  <si>
    <r>
      <t>(6)</t>
    </r>
    <r>
      <rPr>
        <sz val="10"/>
        <rFont val="Arial"/>
        <family val="2"/>
      </rPr>
      <t xml:space="preserve"> As despesas com Pessoal e Encargos do Poder Executivo, referentes a 2014, foram obtidas a partir de estimativa, tendo por base o valor realizado no mês de março/2013, acrescidas de crescimento vegetativo de 3,6% e também, das despesas autorizadas a sofrerem acréscimos, tais como criação de cargo, reajustes e nomeações decorrentes de concurso público, constantes de anexo a esta Lei. Para 2015 e 2016, foram acrescidos os reajustes autorizados e o crescimento vegetativo. As despesas do Poder Legislativo foram elaboradas conforme informações fornecidas pela CLDF e TCDF, Ofício nº 70/2013-GP/CLDF, de 29/04/2012 e Ofício nº 20/2013-DGA/GP/TCDF, de 19/04/2013, acrescidas das projeções para sentenças judiciais e despesas de exercícios anteriores.</t>
    </r>
  </si>
  <si>
    <r>
      <t xml:space="preserve">         I.1.1.2 - Outras Receitas de Origem Tributária</t>
    </r>
    <r>
      <rPr>
        <b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(1)</t>
    </r>
  </si>
  <si>
    <r>
      <t xml:space="preserve">         I.1.1.1 - Receita Tributária </t>
    </r>
    <r>
      <rPr>
        <b/>
        <vertAlign val="superscript"/>
        <sz val="10"/>
        <rFont val="Arial"/>
        <family val="2"/>
      </rPr>
      <t>(1)</t>
    </r>
  </si>
  <si>
    <t>LOA</t>
  </si>
</sst>
</file>

<file path=xl/styles.xml><?xml version="1.0" encoding="utf-8"?>
<styleSheet xmlns="http://schemas.openxmlformats.org/spreadsheetml/2006/main">
  <numFmts count="7">
    <numFmt numFmtId="164" formatCode="&quot;R$ &quot;#,##0.00_);[Red]\(&quot;R$ &quot;#,##0.00\)"/>
    <numFmt numFmtId="165" formatCode="_(* #,##0.00_);_(* \(#,##0.00\);_(* &quot;-&quot;??_);_(@_)"/>
    <numFmt numFmtId="166" formatCode="_(* #,##0_);_(* \(#,##0\);_(* &quot;-&quot;??_);_(@_)"/>
    <numFmt numFmtId="167" formatCode="0.0000"/>
    <numFmt numFmtId="168" formatCode="_(* #,##0.000_);_(* \(#,##0.000\);_(* &quot;-&quot;??_);_(@_)"/>
    <numFmt numFmtId="169" formatCode="#,##0.000_);[Red]\(#,##0.000\)"/>
    <numFmt numFmtId="170" formatCode="#,##0_);[Red]\(#,##0\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5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 applyBorder="1"/>
    <xf numFmtId="0" fontId="5" fillId="0" borderId="0" xfId="0" applyFont="1"/>
    <xf numFmtId="0" fontId="5" fillId="2" borderId="0" xfId="0" applyFont="1" applyFill="1"/>
    <xf numFmtId="166" fontId="5" fillId="0" borderId="0" xfId="0" applyNumberFormat="1" applyFont="1"/>
    <xf numFmtId="0" fontId="8" fillId="0" borderId="0" xfId="0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Fill="1"/>
    <xf numFmtId="165" fontId="5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Alignment="1">
      <alignment vertical="top"/>
    </xf>
    <xf numFmtId="0" fontId="2" fillId="0" borderId="0" xfId="0" applyFont="1" applyFill="1"/>
    <xf numFmtId="166" fontId="5" fillId="0" borderId="0" xfId="0" applyNumberFormat="1" applyFont="1" applyFill="1" applyAlignment="1">
      <alignment wrapText="1"/>
    </xf>
    <xf numFmtId="0" fontId="5" fillId="0" borderId="0" xfId="0" applyFont="1" applyFill="1" applyBorder="1"/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0" fontId="5" fillId="0" borderId="0" xfId="0" applyFont="1" applyBorder="1"/>
    <xf numFmtId="0" fontId="5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66" fontId="14" fillId="0" borderId="0" xfId="0" applyNumberFormat="1" applyFont="1" applyFill="1" applyAlignment="1">
      <alignment vertical="top"/>
    </xf>
    <xf numFmtId="0" fontId="14" fillId="0" borderId="0" xfId="0" applyFont="1" applyFill="1"/>
    <xf numFmtId="166" fontId="14" fillId="0" borderId="0" xfId="0" applyNumberFormat="1" applyFont="1" applyFill="1"/>
    <xf numFmtId="0" fontId="5" fillId="0" borderId="0" xfId="0" applyFont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0" fontId="5" fillId="0" borderId="0" xfId="0" applyNumberFormat="1" applyFont="1" applyFill="1"/>
    <xf numFmtId="0" fontId="2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/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165" fontId="5" fillId="0" borderId="0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167" fontId="5" fillId="0" borderId="2" xfId="2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horizontal="center" vertical="center"/>
    </xf>
    <xf numFmtId="170" fontId="2" fillId="0" borderId="2" xfId="0" applyNumberFormat="1" applyFont="1" applyFill="1" applyBorder="1" applyAlignment="1">
      <alignment horizontal="right" vertical="center"/>
    </xf>
    <xf numFmtId="170" fontId="2" fillId="0" borderId="1" xfId="0" applyNumberFormat="1" applyFont="1" applyFill="1" applyBorder="1" applyAlignment="1">
      <alignment horizontal="right" vertical="center"/>
    </xf>
    <xf numFmtId="169" fontId="2" fillId="0" borderId="1" xfId="0" applyNumberFormat="1" applyFont="1" applyFill="1" applyBorder="1" applyAlignment="1">
      <alignment horizontal="right" vertical="center"/>
    </xf>
    <xf numFmtId="169" fontId="2" fillId="0" borderId="6" xfId="0" applyNumberFormat="1" applyFont="1" applyFill="1" applyBorder="1" applyAlignment="1">
      <alignment horizontal="right" vertical="center"/>
    </xf>
    <xf numFmtId="170" fontId="2" fillId="0" borderId="3" xfId="0" applyNumberFormat="1" applyFont="1" applyFill="1" applyBorder="1" applyAlignment="1">
      <alignment horizontal="right" vertical="center"/>
    </xf>
    <xf numFmtId="169" fontId="2" fillId="0" borderId="3" xfId="0" applyNumberFormat="1" applyFont="1" applyFill="1" applyBorder="1" applyAlignment="1">
      <alignment horizontal="right" vertical="center"/>
    </xf>
    <xf numFmtId="169" fontId="2" fillId="0" borderId="5" xfId="0" applyNumberFormat="1" applyFont="1" applyFill="1" applyBorder="1" applyAlignment="1">
      <alignment horizontal="right" vertical="center"/>
    </xf>
    <xf numFmtId="166" fontId="2" fillId="0" borderId="12" xfId="0" applyNumberFormat="1" applyFont="1" applyFill="1" applyBorder="1" applyAlignment="1">
      <alignment vertical="center"/>
    </xf>
    <xf numFmtId="166" fontId="2" fillId="0" borderId="12" xfId="0" applyNumberFormat="1" applyFont="1" applyFill="1" applyBorder="1" applyAlignment="1">
      <alignment horizontal="right" vertical="center"/>
    </xf>
    <xf numFmtId="168" fontId="2" fillId="0" borderId="12" xfId="3" applyNumberFormat="1" applyFont="1" applyFill="1" applyBorder="1" applyAlignment="1">
      <alignment horizontal="center" vertical="center"/>
    </xf>
    <xf numFmtId="168" fontId="2" fillId="0" borderId="11" xfId="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/>
    </xf>
    <xf numFmtId="166" fontId="1" fillId="0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166" fontId="2" fillId="0" borderId="1" xfId="3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66" fontId="1" fillId="0" borderId="0" xfId="0" applyNumberFormat="1" applyFont="1" applyFill="1" applyAlignment="1">
      <alignment vertical="top"/>
    </xf>
    <xf numFmtId="170" fontId="2" fillId="0" borderId="0" xfId="0" applyNumberFormat="1" applyFont="1" applyFill="1" applyAlignment="1">
      <alignment vertical="top"/>
    </xf>
    <xf numFmtId="0" fontId="1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166" fontId="1" fillId="0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6" fontId="5" fillId="0" borderId="5" xfId="3" applyNumberFormat="1" applyFont="1" applyFill="1" applyBorder="1" applyAlignment="1">
      <alignment horizontal="center" vertical="center"/>
    </xf>
    <xf numFmtId="166" fontId="5" fillId="0" borderId="13" xfId="3" applyNumberFormat="1" applyFont="1" applyFill="1" applyBorder="1" applyAlignment="1">
      <alignment horizontal="center" vertical="center"/>
    </xf>
    <xf numFmtId="166" fontId="5" fillId="0" borderId="4" xfId="3" applyNumberFormat="1" applyFont="1" applyFill="1" applyBorder="1" applyAlignment="1">
      <alignment horizontal="center" vertical="center"/>
    </xf>
    <xf numFmtId="165" fontId="5" fillId="0" borderId="6" xfId="3" applyFont="1" applyFill="1" applyBorder="1" applyAlignment="1">
      <alignment horizontal="center" vertical="center"/>
    </xf>
    <xf numFmtId="165" fontId="5" fillId="0" borderId="7" xfId="3" applyFont="1" applyFill="1" applyBorder="1" applyAlignment="1">
      <alignment horizontal="center" vertical="center"/>
    </xf>
    <xf numFmtId="165" fontId="5" fillId="0" borderId="0" xfId="3" applyFont="1" applyFill="1" applyBorder="1" applyAlignment="1">
      <alignment horizontal="center" vertical="center"/>
    </xf>
    <xf numFmtId="165" fontId="5" fillId="0" borderId="11" xfId="3" applyFont="1" applyFill="1" applyBorder="1" applyAlignment="1">
      <alignment horizontal="center" vertical="center"/>
    </xf>
    <xf numFmtId="165" fontId="5" fillId="0" borderId="15" xfId="3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justify" wrapText="1"/>
    </xf>
    <xf numFmtId="0" fontId="5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justify" wrapText="1"/>
    </xf>
    <xf numFmtId="0" fontId="2" fillId="0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8">
    <cellStyle name="Normal" xfId="0" builtinId="0"/>
    <cellStyle name="Normal 2" xfId="1"/>
    <cellStyle name="Porcentagem" xfId="2" builtinId="5"/>
    <cellStyle name="Separador de milhares" xfId="3" builtinId="3"/>
    <cellStyle name="Separador de milhares 2" xfId="4"/>
    <cellStyle name="Separador de milhares 3" xfId="5"/>
    <cellStyle name="Separador de milhares 4" xfId="6"/>
    <cellStyle name="Separador de milhares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PLAN/SUOP/A2%20-%20COORDENA&#199;&#195;O%20DE%20ESTUDOS/ANO/2013/PLDO%202013/MEM&#211;RIA%20DE%20C&#193;LCULO%20-%20RECEITA%20E%20DESPESA/Mem&#243;ria%20de%20C&#225;lculo%20PLDO%202013%20-%20RECEITAS%20E%20DESPES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2%20-%20COORDENA&#199;&#195;O%20DE%20ESTUDOS/ANO/2014/PLDO%202014/Mem&#243;ria%20de%20Calculo%202014/Mem&#243;ria%20de%20C&#225;lculo%20-%20RECEITAS%20E%20DESPESAS%20-%20PLDO%202014%20-%20vers&#227;o%20FINAL%20Gabine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 - RESUMO PESSOAL SUGEP"/>
      <sheetName val="11-TERCEIR. - INDENIZ. - DEA"/>
      <sheetName val="10-DISTRIB. RECURS. FCDF"/>
      <sheetName val="ACRÉSC. PESSOAL "/>
      <sheetName val="09-ACRÉSC DE PESSOAL"/>
      <sheetName val="08-SENTENÇAS JUDICIAIS"/>
      <sheetName val="07-proj. PES. Legisl- Exec."/>
      <sheetName val="06-Acompanh RCL-UNIÃO"/>
      <sheetName val="04-Apuração Pessoal e RCL-DF"/>
      <sheetName val="PESS X RCL NÃO CONSIDERAR"/>
      <sheetName val="03-EVOLUÇ. DESPESA RESUMIDA "/>
      <sheetName val="02-EVOLUÇÃO RECEITA RESUMIDA"/>
      <sheetName val="Receita 2013 a 2016"/>
      <sheetName val="Plan1"/>
      <sheetName val="Plan2"/>
      <sheetName val="Plan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Q8">
            <v>9082642725.8846836</v>
          </cell>
        </row>
      </sheetData>
      <sheetData sheetId="11" refreshError="1"/>
      <sheetData sheetId="12">
        <row r="8">
          <cell r="V8">
            <v>11458462776.831909</v>
          </cell>
        </row>
        <row r="1410">
          <cell r="V1410">
            <v>17796421285.190357</v>
          </cell>
          <cell r="X1410">
            <v>18895272071.774708</v>
          </cell>
          <cell r="Z1410">
            <v>20434961564.97131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1 - RECEITA 2010 A 2016"/>
      <sheetName val="02-RECEITA RESUMIDA"/>
      <sheetName val="03-DESPESA RESUMIDA "/>
      <sheetName val="04-Apuração Pessoal e RCL-DF"/>
      <sheetName val="06-Acompanh RCL-UNIÃO"/>
      <sheetName val="06.1 RCL JUL A JUN"/>
      <sheetName val="07-proj. PES. Legisl- Exec."/>
      <sheetName val="08-SENTENÇAS JUDICIAIS"/>
      <sheetName val="09 - TERCEIR. - INDENIZ. - DEA"/>
      <sheetName val="10-ACRÉSC DE PESSOAL"/>
      <sheetName val="11-DISTRIB. RECURS. FCDF"/>
      <sheetName val="12 - RESUMO PESSOAL SUGEP"/>
      <sheetName val="Plan1"/>
    </sheetNames>
    <sheetDataSet>
      <sheetData sheetId="0">
        <row r="7">
          <cell r="P7">
            <v>11633796454</v>
          </cell>
          <cell r="Q7">
            <v>13021628986</v>
          </cell>
          <cell r="R7">
            <v>14157467527</v>
          </cell>
        </row>
        <row r="248">
          <cell r="P248">
            <v>152579181.80137497</v>
          </cell>
          <cell r="Q248">
            <v>166416642.72744712</v>
          </cell>
        </row>
        <row r="336">
          <cell r="P336">
            <v>0</v>
          </cell>
          <cell r="Q336">
            <v>0</v>
          </cell>
        </row>
        <row r="627">
          <cell r="P627">
            <v>71016716</v>
          </cell>
          <cell r="Q627">
            <v>77979015</v>
          </cell>
          <cell r="R627">
            <v>83541324</v>
          </cell>
        </row>
        <row r="661">
          <cell r="P661">
            <v>41937853</v>
          </cell>
          <cell r="Q661">
            <v>56331699</v>
          </cell>
          <cell r="R661">
            <v>61396395</v>
          </cell>
        </row>
        <row r="858">
          <cell r="P858">
            <v>246587373</v>
          </cell>
          <cell r="Q858">
            <v>257736686</v>
          </cell>
          <cell r="R858">
            <v>269808504</v>
          </cell>
        </row>
        <row r="905">
          <cell r="P905">
            <v>14522119</v>
          </cell>
          <cell r="Q905">
            <v>15761231</v>
          </cell>
          <cell r="R905">
            <v>16839515</v>
          </cell>
        </row>
        <row r="953">
          <cell r="P953">
            <v>1312713522.8900001</v>
          </cell>
          <cell r="Q953">
            <v>1183546112.8600001</v>
          </cell>
        </row>
        <row r="1006">
          <cell r="P1006">
            <v>17411021.226584997</v>
          </cell>
          <cell r="Q1006">
            <v>18990033.009591632</v>
          </cell>
        </row>
        <row r="1024">
          <cell r="P1024">
            <v>9278399.1459599994</v>
          </cell>
          <cell r="Q1024">
            <v>10119860.504730802</v>
          </cell>
        </row>
        <row r="1198">
          <cell r="P1198">
            <v>19441695178.55228</v>
          </cell>
          <cell r="Q1198">
            <v>21242360822.774677</v>
          </cell>
          <cell r="R1198">
            <v>22745650761.005913</v>
          </cell>
        </row>
      </sheetData>
      <sheetData sheetId="1"/>
      <sheetData sheetId="2">
        <row r="7">
          <cell r="K7">
            <v>10054730219.586451</v>
          </cell>
          <cell r="M7">
            <v>10169691012.879353</v>
          </cell>
          <cell r="O7">
            <v>9612305364.9167633</v>
          </cell>
        </row>
        <row r="8">
          <cell r="K8">
            <v>256716583</v>
          </cell>
          <cell r="M8">
            <v>317818738</v>
          </cell>
          <cell r="O8">
            <v>352190979</v>
          </cell>
        </row>
        <row r="13">
          <cell r="K13">
            <v>213801419</v>
          </cell>
          <cell r="M13">
            <v>276155476</v>
          </cell>
          <cell r="O13">
            <v>349161128</v>
          </cell>
        </row>
        <row r="16">
          <cell r="K16">
            <v>19441695178.552277</v>
          </cell>
          <cell r="M16">
            <v>21242360822.774677</v>
          </cell>
          <cell r="O16">
            <v>22745650761.005913</v>
          </cell>
        </row>
        <row r="37">
          <cell r="K37">
            <v>118053965</v>
          </cell>
          <cell r="M37">
            <v>124082103</v>
          </cell>
          <cell r="O37">
            <v>130324567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view="pageBreakPreview" zoomScale="75" zoomScaleNormal="100" zoomScaleSheetLayoutView="75" workbookViewId="0">
      <selection activeCell="C13" sqref="C13"/>
    </sheetView>
  </sheetViews>
  <sheetFormatPr defaultRowHeight="12.75"/>
  <cols>
    <col min="1" max="1" width="43.5703125" style="2" customWidth="1"/>
    <col min="2" max="3" width="15.7109375" style="2" customWidth="1"/>
    <col min="4" max="4" width="14" style="2" customWidth="1"/>
    <col min="5" max="6" width="15.7109375" style="2" customWidth="1"/>
    <col min="7" max="7" width="14" style="2" customWidth="1"/>
    <col min="8" max="9" width="15.7109375" style="2" customWidth="1"/>
    <col min="10" max="10" width="14" style="2" customWidth="1"/>
    <col min="11" max="16384" width="9.140625" style="2"/>
  </cols>
  <sheetData>
    <row r="1" spans="1:10" ht="15.75">
      <c r="A1" s="80" t="s">
        <v>18</v>
      </c>
      <c r="B1" s="80"/>
      <c r="C1" s="80"/>
      <c r="D1" s="80"/>
      <c r="E1" s="80"/>
      <c r="F1" s="80"/>
      <c r="G1" s="80"/>
      <c r="H1" s="80"/>
      <c r="I1" s="80"/>
      <c r="J1" s="80"/>
    </row>
    <row r="3" spans="1:10" s="1" customFormat="1" ht="15" customHeight="1">
      <c r="A3" s="80" t="s">
        <v>82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s="1" customFormat="1" ht="15" customHeight="1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</row>
    <row r="5" spans="1:10" s="1" customFormat="1" ht="15" customHeight="1">
      <c r="A5" s="80" t="s">
        <v>81</v>
      </c>
      <c r="B5" s="80"/>
      <c r="C5" s="80"/>
      <c r="D5" s="80"/>
      <c r="E5" s="80"/>
      <c r="F5" s="80"/>
      <c r="G5" s="80"/>
      <c r="H5" s="80"/>
      <c r="I5" s="80"/>
      <c r="J5" s="80"/>
    </row>
    <row r="6" spans="1:10">
      <c r="A6" s="77" t="s">
        <v>85</v>
      </c>
      <c r="B6" s="6"/>
      <c r="C6" s="7"/>
      <c r="D6" s="7"/>
      <c r="E6" s="21"/>
      <c r="F6" s="9"/>
      <c r="G6" s="9"/>
      <c r="H6" s="22"/>
      <c r="I6" s="9"/>
      <c r="J6" s="9" t="s">
        <v>52</v>
      </c>
    </row>
    <row r="7" spans="1:10" ht="15" customHeight="1">
      <c r="A7" s="84" t="s">
        <v>19</v>
      </c>
      <c r="B7" s="81">
        <v>2014</v>
      </c>
      <c r="C7" s="82"/>
      <c r="D7" s="83"/>
      <c r="E7" s="81">
        <v>2015</v>
      </c>
      <c r="F7" s="82"/>
      <c r="G7" s="83"/>
      <c r="H7" s="81">
        <v>2016</v>
      </c>
      <c r="I7" s="82"/>
      <c r="J7" s="82"/>
    </row>
    <row r="8" spans="1:10" ht="48" customHeight="1">
      <c r="A8" s="85"/>
      <c r="B8" s="70" t="s">
        <v>45</v>
      </c>
      <c r="C8" s="70" t="s">
        <v>40</v>
      </c>
      <c r="D8" s="70" t="s">
        <v>44</v>
      </c>
      <c r="E8" s="70" t="s">
        <v>43</v>
      </c>
      <c r="F8" s="70" t="s">
        <v>40</v>
      </c>
      <c r="G8" s="70" t="s">
        <v>42</v>
      </c>
      <c r="H8" s="70" t="s">
        <v>41</v>
      </c>
      <c r="I8" s="70" t="s">
        <v>40</v>
      </c>
      <c r="J8" s="71" t="s">
        <v>39</v>
      </c>
    </row>
    <row r="9" spans="1:10" ht="6" customHeight="1">
      <c r="A9" s="38"/>
      <c r="B9" s="8"/>
      <c r="C9" s="8"/>
      <c r="D9" s="8"/>
      <c r="E9" s="8"/>
      <c r="F9" s="8"/>
      <c r="G9" s="8"/>
      <c r="H9" s="8"/>
      <c r="I9" s="8"/>
      <c r="J9" s="37"/>
    </row>
    <row r="10" spans="1:10" s="33" customFormat="1" ht="20.100000000000001" customHeight="1">
      <c r="A10" s="39" t="s">
        <v>38</v>
      </c>
      <c r="B10" s="54">
        <f>'Metodologia Metas Anuais'!E13</f>
        <v>19441695.178552281</v>
      </c>
      <c r="C10" s="54">
        <f>'Metodologia Metas Anuais'!F13</f>
        <v>18393278.314618997</v>
      </c>
      <c r="D10" s="55">
        <f t="shared" ref="D10:D17" si="0">(B10/$B$27)*100</f>
        <v>0.36011726549178824</v>
      </c>
      <c r="E10" s="54">
        <f>'Metodologia Metas Anuais'!G13</f>
        <v>21242360.822774678</v>
      </c>
      <c r="F10" s="54">
        <f>'Metodologia Metas Anuais'!H13</f>
        <v>19078071.854883634</v>
      </c>
      <c r="G10" s="55">
        <f t="shared" ref="G10:G17" si="1">(E10/$B$27)*100</f>
        <v>0.39347087904796302</v>
      </c>
      <c r="H10" s="54">
        <f>'Metodologia Metas Anuais'!I13</f>
        <v>22745650.761005912</v>
      </c>
      <c r="I10" s="54">
        <f>'Metodologia Metas Anuais'!J13</f>
        <v>19420285.499377389</v>
      </c>
      <c r="J10" s="56">
        <f t="shared" ref="J10:J17" si="2">(H10/$B$27)*100</f>
        <v>0.42131622158755649</v>
      </c>
    </row>
    <row r="11" spans="1:10" s="33" customFormat="1" ht="20.100000000000001" customHeight="1">
      <c r="A11" s="39" t="s">
        <v>37</v>
      </c>
      <c r="B11" s="54">
        <f>'Metodologia Metas Anuais'!E24</f>
        <v>17949713.053488363</v>
      </c>
      <c r="C11" s="54">
        <f>'Metodologia Metas Anuais'!F24</f>
        <v>16981753.125343766</v>
      </c>
      <c r="D11" s="55">
        <f t="shared" si="0"/>
        <v>0.33248137684595802</v>
      </c>
      <c r="E11" s="54">
        <f>'Metodologia Metas Anuais'!G24</f>
        <v>19863288.173672907</v>
      </c>
      <c r="F11" s="54">
        <f>'Metodologia Metas Anuais'!H24</f>
        <v>17839506.739067487</v>
      </c>
      <c r="G11" s="55">
        <f t="shared" si="1"/>
        <v>0.36792640534091109</v>
      </c>
      <c r="H11" s="54">
        <f>'Metodologia Metas Anuais'!I24</f>
        <v>21366578.111904141</v>
      </c>
      <c r="I11" s="54">
        <f>'Metodologia Metas Anuais'!J24</f>
        <v>18242830.307994038</v>
      </c>
      <c r="J11" s="56">
        <f t="shared" si="2"/>
        <v>0.39577174788050462</v>
      </c>
    </row>
    <row r="12" spans="1:10" s="33" customFormat="1" ht="20.100000000000001" customHeight="1">
      <c r="A12" s="39" t="s">
        <v>36</v>
      </c>
      <c r="B12" s="54">
        <f>'Metodologia Metas Anuais'!E27</f>
        <v>19441695.178552277</v>
      </c>
      <c r="C12" s="54">
        <f>'Metodologia Metas Anuais'!F27</f>
        <v>18393278.314618997</v>
      </c>
      <c r="D12" s="55">
        <f t="shared" si="0"/>
        <v>0.36011726549178819</v>
      </c>
      <c r="E12" s="54">
        <f>'Metodologia Metas Anuais'!G27</f>
        <v>21242360.822774678</v>
      </c>
      <c r="F12" s="54">
        <f>'Metodologia Metas Anuais'!H27</f>
        <v>19078071.854883634</v>
      </c>
      <c r="G12" s="55">
        <f t="shared" si="1"/>
        <v>0.39347087904796302</v>
      </c>
      <c r="H12" s="54">
        <f>'Metodologia Metas Anuais'!I27</f>
        <v>22745650.761005916</v>
      </c>
      <c r="I12" s="54">
        <f>'Metodologia Metas Anuais'!J27</f>
        <v>19420285.499377396</v>
      </c>
      <c r="J12" s="56">
        <f t="shared" si="2"/>
        <v>0.42131622158755661</v>
      </c>
    </row>
    <row r="13" spans="1:10" s="33" customFormat="1" ht="20.100000000000001" customHeight="1">
      <c r="A13" s="40" t="s">
        <v>35</v>
      </c>
      <c r="B13" s="54">
        <f>'Metodologia Metas Anuais'!E35</f>
        <v>18853123.211552277</v>
      </c>
      <c r="C13" s="54">
        <f>'Metodologia Metas Anuais'!F35</f>
        <v>17836445.800900925</v>
      </c>
      <c r="D13" s="55">
        <f t="shared" si="0"/>
        <v>0.3492151849193601</v>
      </c>
      <c r="E13" s="54">
        <f>'Metodologia Metas Anuais'!G35</f>
        <v>20524304.505774677</v>
      </c>
      <c r="F13" s="54">
        <f>'Metodologia Metas Anuais'!H35</f>
        <v>18433175.078773335</v>
      </c>
      <c r="G13" s="55">
        <f t="shared" si="1"/>
        <v>0.38017036821429817</v>
      </c>
      <c r="H13" s="54">
        <f>'Metodologia Metas Anuais'!I35</f>
        <v>21913974.087005917</v>
      </c>
      <c r="I13" s="54">
        <f>'Metodologia Metas Anuais'!J35</f>
        <v>18710198.167871282</v>
      </c>
      <c r="J13" s="56">
        <f t="shared" si="2"/>
        <v>0.40591112821151243</v>
      </c>
    </row>
    <row r="14" spans="1:10" s="33" customFormat="1" ht="20.100000000000001" customHeight="1">
      <c r="A14" s="39" t="s">
        <v>34</v>
      </c>
      <c r="B14" s="54">
        <f>B11-B13</f>
        <v>-903410.15806391463</v>
      </c>
      <c r="C14" s="54">
        <f>C11-C13</f>
        <v>-854692.67555715889</v>
      </c>
      <c r="D14" s="55">
        <f t="shared" si="0"/>
        <v>-1.6733808073402114E-2</v>
      </c>
      <c r="E14" s="54">
        <f>E11-E13</f>
        <v>-661016.33210176975</v>
      </c>
      <c r="F14" s="54">
        <f>F11-F13</f>
        <v>-593668.3397058472</v>
      </c>
      <c r="G14" s="55">
        <f t="shared" si="1"/>
        <v>-1.2243962873386997E-2</v>
      </c>
      <c r="H14" s="54">
        <f>H11-H13</f>
        <v>-547395.97510177642</v>
      </c>
      <c r="I14" s="54">
        <f>I11-I13</f>
        <v>-467367.85987724364</v>
      </c>
      <c r="J14" s="56">
        <f t="shared" si="2"/>
        <v>-1.0139380331007829E-2</v>
      </c>
    </row>
    <row r="15" spans="1:10" s="33" customFormat="1" ht="20.100000000000001" customHeight="1">
      <c r="A15" s="39" t="s">
        <v>33</v>
      </c>
      <c r="B15" s="54">
        <f>'Metodologia Metas Anuais'!E37</f>
        <v>1956211.4634700001</v>
      </c>
      <c r="C15" s="54">
        <f>'Metodologia Metas Anuais'!F37</f>
        <v>1850720.4006338697</v>
      </c>
      <c r="D15" s="55">
        <f t="shared" si="0"/>
        <v>3.6234778730903007E-2</v>
      </c>
      <c r="E15" s="54">
        <f>'Metodologia Metas Anuais'!G37</f>
        <v>871703.4160000002</v>
      </c>
      <c r="F15" s="54">
        <f>'Metodologia Metas Anuais'!H37</f>
        <v>782889.46060860937</v>
      </c>
      <c r="G15" s="55">
        <f t="shared" si="1"/>
        <v>1.6146506135744611E-2</v>
      </c>
      <c r="H15" s="54">
        <f>'Metodologia Metas Anuais'!I37</f>
        <v>561840.24899999984</v>
      </c>
      <c r="I15" s="54">
        <f>'Metodologia Metas Anuais'!J37</f>
        <v>479700.41197180247</v>
      </c>
      <c r="J15" s="56">
        <f t="shared" si="2"/>
        <v>1.0406930684537749E-2</v>
      </c>
    </row>
    <row r="16" spans="1:10" s="33" customFormat="1" ht="20.100000000000001" customHeight="1">
      <c r="A16" s="35" t="s">
        <v>32</v>
      </c>
      <c r="B16" s="54">
        <f>'Metodologia Metas Anuais'!E38</f>
        <v>6464489.8370000003</v>
      </c>
      <c r="C16" s="54">
        <f>'Metodologia Metas Anuais'!F38</f>
        <v>6115884.4247871339</v>
      </c>
      <c r="D16" s="55">
        <f t="shared" si="0"/>
        <v>0.11974132818768161</v>
      </c>
      <c r="E16" s="54">
        <f>'Metodologia Metas Anuais'!G38</f>
        <v>7459264.2149999999</v>
      </c>
      <c r="F16" s="54">
        <f>'Metodologia Metas Anuais'!H38</f>
        <v>6699273.2053472307</v>
      </c>
      <c r="G16" s="55">
        <f t="shared" si="1"/>
        <v>0.13816746981250522</v>
      </c>
      <c r="H16" s="54">
        <f>'Metodologia Metas Anuais'!I38</f>
        <v>8149454.5020000003</v>
      </c>
      <c r="I16" s="54">
        <f>'Metodologia Metas Anuais'!J38</f>
        <v>6958021.7667083908</v>
      </c>
      <c r="J16" s="56">
        <f t="shared" si="2"/>
        <v>0.15095181997028506</v>
      </c>
    </row>
    <row r="17" spans="1:10" s="33" customFormat="1" ht="20.100000000000001" customHeight="1">
      <c r="A17" s="34" t="s">
        <v>54</v>
      </c>
      <c r="B17" s="57">
        <f>'Metodologia Metas Anuais'!E39</f>
        <v>4003070.591</v>
      </c>
      <c r="C17" s="57">
        <f>'Metodologia Metas Anuais'!F39</f>
        <v>3787200.1807000949</v>
      </c>
      <c r="D17" s="58">
        <f t="shared" si="0"/>
        <v>7.414861829496408E-2</v>
      </c>
      <c r="E17" s="57">
        <f>'Metodologia Metas Anuais'!G39</f>
        <v>4874774.0070000002</v>
      </c>
      <c r="F17" s="57">
        <f>'Metodologia Metas Anuais'!H39</f>
        <v>4378105.1248388113</v>
      </c>
      <c r="G17" s="58">
        <f t="shared" si="1"/>
        <v>9.0295124430708695E-2</v>
      </c>
      <c r="H17" s="57">
        <f>'Metodologia Metas Anuais'!I39</f>
        <v>5436614.2560000001</v>
      </c>
      <c r="I17" s="57">
        <f>'Metodologia Metas Anuais'!J39</f>
        <v>4641792.9348720899</v>
      </c>
      <c r="J17" s="59">
        <f t="shared" si="2"/>
        <v>0.10070205511524645</v>
      </c>
    </row>
    <row r="18" spans="1:10">
      <c r="A18" s="12"/>
      <c r="B18" s="16"/>
      <c r="C18" s="16"/>
      <c r="D18" s="16"/>
      <c r="E18" s="16"/>
      <c r="F18" s="42"/>
      <c r="G18" s="42"/>
      <c r="H18" s="16"/>
      <c r="I18" s="16"/>
      <c r="J18" s="42"/>
    </row>
    <row r="19" spans="1:10" ht="20.100000000000001" customHeight="1">
      <c r="A19" s="41" t="s">
        <v>55</v>
      </c>
      <c r="B19" s="60">
        <v>0</v>
      </c>
      <c r="C19" s="61">
        <f>B19/'Metodologia Metas Anuais'!$F$8</f>
        <v>0</v>
      </c>
      <c r="D19" s="62">
        <f>(B19/$B$27)*100</f>
        <v>0</v>
      </c>
      <c r="E19" s="61">
        <v>0</v>
      </c>
      <c r="F19" s="61">
        <f>E19/'Metodologia Metas Anuais'!$F$8/'Metodologia Metas Anuais'!$H$8</f>
        <v>0</v>
      </c>
      <c r="G19" s="62">
        <f>(E19/$B$27)*100</f>
        <v>0</v>
      </c>
      <c r="H19" s="61">
        <v>0</v>
      </c>
      <c r="I19" s="61">
        <f>H19/'Metodologia Metas Anuais'!$F$8/'Metodologia Metas Anuais'!$H$8/'Metodologia Metas Anuais'!$J$8</f>
        <v>0</v>
      </c>
      <c r="J19" s="63">
        <f>(H19/$B$27)*100</f>
        <v>0</v>
      </c>
    </row>
    <row r="20" spans="1:10" ht="20.100000000000001" customHeight="1">
      <c r="A20" s="35" t="s">
        <v>56</v>
      </c>
      <c r="B20" s="54">
        <f>535601632/1000</f>
        <v>535601.63199999998</v>
      </c>
      <c r="C20" s="54">
        <f>B20/'Metodologia Metas Anuais'!$F$8</f>
        <v>506718.66792809841</v>
      </c>
      <c r="D20" s="55">
        <f>(B20/$B$27)*100</f>
        <v>9.9209144746575419E-3</v>
      </c>
      <c r="E20" s="54">
        <f>662319743/1000</f>
        <v>662319.74300000002</v>
      </c>
      <c r="F20" s="54">
        <f>E20/'Metodologia Metas Anuais'!$F$8/'Metodologia Metas Anuais'!$H$8</f>
        <v>594838.95190758631</v>
      </c>
      <c r="G20" s="55">
        <f>(E20/$B$27)*100</f>
        <v>1.2268105869364049E-2</v>
      </c>
      <c r="H20" s="54">
        <f>935847785/1000</f>
        <v>935847.78500000003</v>
      </c>
      <c r="I20" s="54">
        <f>H20/'Metodologia Metas Anuais'!$F$8/'Metodologia Metas Anuais'!$H$8/'Metodologia Metas Anuais'!$J$8</f>
        <v>799028.84993808798</v>
      </c>
      <c r="J20" s="56">
        <f>(H20/$B$27)*100</f>
        <v>1.7334648144393072E-2</v>
      </c>
    </row>
    <row r="21" spans="1:10" ht="20.100000000000001" customHeight="1">
      <c r="A21" s="34" t="s">
        <v>57</v>
      </c>
      <c r="B21" s="57">
        <f>B19-B20</f>
        <v>-535601.63199999998</v>
      </c>
      <c r="C21" s="57">
        <f>B21/'Metodologia Metas Anuais'!$F$8</f>
        <v>-506718.66792809841</v>
      </c>
      <c r="D21" s="58">
        <f>(B21/$B$27)*100</f>
        <v>-9.9209144746575419E-3</v>
      </c>
      <c r="E21" s="57">
        <f>E19-E20</f>
        <v>-662319.74300000002</v>
      </c>
      <c r="F21" s="57">
        <f>E21/'Metodologia Metas Anuais'!$F$8/'Metodologia Metas Anuais'!$H$8</f>
        <v>-594838.95190758631</v>
      </c>
      <c r="G21" s="58">
        <f>(E21/$B$27)*100</f>
        <v>-1.2268105869364049E-2</v>
      </c>
      <c r="H21" s="57">
        <f>H19-H20</f>
        <v>-935847.78500000003</v>
      </c>
      <c r="I21" s="57">
        <f>H21/'Metodologia Metas Anuais'!$F$8/'Metodologia Metas Anuais'!$H$8/'Metodologia Metas Anuais'!$J$8</f>
        <v>-799028.84993808798</v>
      </c>
      <c r="J21" s="59">
        <f>(H21/$B$27)*100</f>
        <v>-1.7334648144393072E-2</v>
      </c>
    </row>
    <row r="22" spans="1:10">
      <c r="A22" s="12"/>
      <c r="B22" s="10"/>
      <c r="C22" s="10"/>
      <c r="D22" s="10"/>
      <c r="E22" s="10"/>
      <c r="F22" s="11"/>
      <c r="G22" s="11"/>
      <c r="H22" s="10"/>
      <c r="I22" s="10"/>
      <c r="J22" s="11"/>
    </row>
    <row r="23" spans="1:10">
      <c r="A23" s="12" t="s">
        <v>60</v>
      </c>
      <c r="B23" s="10"/>
      <c r="C23" s="10"/>
      <c r="D23" s="10"/>
      <c r="E23" s="10"/>
      <c r="F23" s="11"/>
      <c r="G23" s="11"/>
      <c r="H23" s="10"/>
      <c r="I23" s="10"/>
      <c r="J23" s="11"/>
    </row>
    <row r="24" spans="1:10" ht="15" customHeight="1">
      <c r="A24" s="72" t="s">
        <v>31</v>
      </c>
      <c r="B24" s="81">
        <v>2014</v>
      </c>
      <c r="C24" s="82"/>
      <c r="D24" s="81">
        <v>2015</v>
      </c>
      <c r="E24" s="82"/>
      <c r="F24" s="81">
        <v>2016</v>
      </c>
      <c r="G24" s="82"/>
      <c r="H24" s="10"/>
      <c r="I24" s="10"/>
      <c r="J24" s="11"/>
    </row>
    <row r="25" spans="1:10" ht="20.100000000000001" customHeight="1">
      <c r="A25" s="45" t="s">
        <v>30</v>
      </c>
      <c r="B25" s="89">
        <f>(('Metodologia Metas Anuais'!F7-1)*100)</f>
        <v>3.499999999999992</v>
      </c>
      <c r="C25" s="90"/>
      <c r="D25" s="89">
        <f>(('Metodologia Metas Anuais'!H7-1)*100)</f>
        <v>3.5400000000000098</v>
      </c>
      <c r="E25" s="90"/>
      <c r="F25" s="92">
        <f>(('Metodologia Metas Anuais'!J7-1)*100)</f>
        <v>3.5400000000000098</v>
      </c>
      <c r="G25" s="93"/>
      <c r="H25" s="10"/>
      <c r="I25" s="10"/>
      <c r="J25" s="11"/>
    </row>
    <row r="26" spans="1:10" ht="20.100000000000001" customHeight="1">
      <c r="A26" s="45" t="s">
        <v>29</v>
      </c>
      <c r="B26" s="89">
        <f>(('Metodologia Metas Anuais'!F8-1)*100)</f>
        <v>5.699999999999994</v>
      </c>
      <c r="C26" s="90"/>
      <c r="D26" s="89">
        <f>(('Metodologia Metas Anuais'!H8-1)*100)</f>
        <v>5.3399999999999892</v>
      </c>
      <c r="E26" s="90"/>
      <c r="F26" s="89">
        <f>(('Metodologia Metas Anuais'!J8-1)*100)</f>
        <v>5.1900000000000057</v>
      </c>
      <c r="G26" s="91"/>
      <c r="H26" s="10"/>
      <c r="I26" s="10"/>
      <c r="J26" s="11"/>
    </row>
    <row r="27" spans="1:10" ht="20.100000000000001" customHeight="1">
      <c r="A27" s="46" t="s">
        <v>53</v>
      </c>
      <c r="B27" s="86">
        <v>5398712320</v>
      </c>
      <c r="C27" s="87"/>
      <c r="D27" s="86">
        <v>5971844785</v>
      </c>
      <c r="E27" s="87"/>
      <c r="F27" s="86">
        <v>6544299199</v>
      </c>
      <c r="G27" s="88"/>
      <c r="H27" s="10"/>
      <c r="I27" s="10"/>
      <c r="J27" s="11"/>
    </row>
  </sheetData>
  <mergeCells count="20">
    <mergeCell ref="D27:E27"/>
    <mergeCell ref="F27:G27"/>
    <mergeCell ref="B24:C24"/>
    <mergeCell ref="B25:C25"/>
    <mergeCell ref="B26:C26"/>
    <mergeCell ref="B27:C27"/>
    <mergeCell ref="D24:E24"/>
    <mergeCell ref="F24:G24"/>
    <mergeCell ref="D25:E25"/>
    <mergeCell ref="D26:E26"/>
    <mergeCell ref="F26:G26"/>
    <mergeCell ref="F25:G25"/>
    <mergeCell ref="A1:J1"/>
    <mergeCell ref="A3:J3"/>
    <mergeCell ref="A4:J4"/>
    <mergeCell ref="A5:J5"/>
    <mergeCell ref="B7:D7"/>
    <mergeCell ref="E7:G7"/>
    <mergeCell ref="H7:J7"/>
    <mergeCell ref="A7:A8"/>
  </mergeCells>
  <printOptions horizontalCentered="1"/>
  <pageMargins left="0.15748031496062992" right="0.19685039370078741" top="0.57999999999999996" bottom="0.19685039370078741" header="0.11811023622047245" footer="0.15748031496062992"/>
  <pageSetup paperSize="9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2"/>
  <sheetViews>
    <sheetView tabSelected="1" view="pageBreakPreview" zoomScale="85" zoomScaleNormal="75" zoomScaleSheetLayoutView="85" workbookViewId="0">
      <selection activeCell="E9" sqref="E9:F9"/>
    </sheetView>
  </sheetViews>
  <sheetFormatPr defaultRowHeight="12.75"/>
  <cols>
    <col min="1" max="1" width="53.5703125" style="2" customWidth="1"/>
    <col min="2" max="2" width="14.7109375" style="2" hidden="1" customWidth="1"/>
    <col min="3" max="3" width="15.140625" style="2" hidden="1" customWidth="1"/>
    <col min="4" max="4" width="16.28515625" style="2" hidden="1" customWidth="1"/>
    <col min="5" max="5" width="20.140625" style="2" customWidth="1"/>
    <col min="6" max="6" width="19.85546875" style="2" customWidth="1"/>
    <col min="7" max="7" width="18.85546875" style="2" customWidth="1"/>
    <col min="8" max="8" width="19.42578125" style="2" customWidth="1"/>
    <col min="9" max="9" width="20" style="2" customWidth="1"/>
    <col min="10" max="10" width="19.42578125" style="2" customWidth="1"/>
    <col min="11" max="11" width="13.7109375" style="2" customWidth="1"/>
    <col min="12" max="16384" width="9.140625" style="2"/>
  </cols>
  <sheetData>
    <row r="1" spans="1:12" s="1" customFormat="1" ht="15" customHeight="1">
      <c r="A1" s="98" t="s">
        <v>62</v>
      </c>
      <c r="B1" s="98"/>
      <c r="C1" s="98"/>
      <c r="D1" s="98"/>
      <c r="E1" s="98"/>
      <c r="F1" s="98"/>
      <c r="G1" s="98"/>
      <c r="H1" s="98"/>
      <c r="I1" s="98"/>
      <c r="J1" s="98"/>
    </row>
    <row r="2" spans="1:12" s="1" customFormat="1" ht="15" customHeight="1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</row>
    <row r="3" spans="1:12" s="1" customFormat="1" ht="15" customHeight="1">
      <c r="A3" s="99" t="s">
        <v>26</v>
      </c>
      <c r="B3" s="99"/>
      <c r="C3" s="99"/>
      <c r="D3" s="99"/>
      <c r="E3" s="99"/>
      <c r="F3" s="99"/>
      <c r="G3" s="99"/>
      <c r="H3" s="99"/>
      <c r="I3" s="99"/>
      <c r="J3" s="99"/>
    </row>
    <row r="4" spans="1:12" s="1" customFormat="1" ht="15" customHeight="1">
      <c r="A4" s="99" t="s">
        <v>27</v>
      </c>
      <c r="B4" s="99"/>
      <c r="C4" s="99"/>
      <c r="D4" s="99"/>
      <c r="E4" s="99"/>
      <c r="F4" s="99"/>
      <c r="G4" s="99"/>
      <c r="H4" s="99"/>
      <c r="I4" s="99"/>
      <c r="J4" s="99"/>
    </row>
    <row r="5" spans="1:12">
      <c r="A5" s="5"/>
      <c r="B5" s="5"/>
      <c r="C5" s="5"/>
      <c r="D5" s="5"/>
      <c r="E5" s="7"/>
      <c r="F5" s="7"/>
      <c r="G5" s="21"/>
      <c r="H5" s="9"/>
      <c r="I5" s="22"/>
      <c r="J5" s="9" t="s">
        <v>51</v>
      </c>
    </row>
    <row r="6" spans="1:12" ht="15" customHeight="1">
      <c r="A6" s="100" t="s">
        <v>19</v>
      </c>
      <c r="B6" s="66" t="s">
        <v>80</v>
      </c>
      <c r="C6" s="66" t="s">
        <v>80</v>
      </c>
      <c r="D6" s="66"/>
      <c r="E6" s="81">
        <v>2014</v>
      </c>
      <c r="F6" s="83"/>
      <c r="G6" s="81">
        <v>2015</v>
      </c>
      <c r="H6" s="83"/>
      <c r="I6" s="81">
        <v>2016</v>
      </c>
      <c r="J6" s="83"/>
    </row>
    <row r="7" spans="1:12" ht="16.5" customHeight="1">
      <c r="A7" s="101"/>
      <c r="B7" s="64">
        <v>2011</v>
      </c>
      <c r="C7" s="43">
        <v>2012</v>
      </c>
      <c r="D7" s="43">
        <v>2013</v>
      </c>
      <c r="E7" s="18" t="s">
        <v>20</v>
      </c>
      <c r="F7" s="48">
        <v>1.0349999999999999</v>
      </c>
      <c r="G7" s="19" t="s">
        <v>21</v>
      </c>
      <c r="H7" s="48">
        <v>1.0354000000000001</v>
      </c>
      <c r="I7" s="19" t="s">
        <v>17</v>
      </c>
      <c r="J7" s="48">
        <v>1.0354000000000001</v>
      </c>
    </row>
    <row r="8" spans="1:12" ht="18.75" customHeight="1">
      <c r="A8" s="101"/>
      <c r="B8" s="64"/>
      <c r="C8" s="43"/>
      <c r="D8" s="74"/>
      <c r="E8" s="17" t="s">
        <v>22</v>
      </c>
      <c r="F8" s="48">
        <v>1.0569999999999999</v>
      </c>
      <c r="G8" s="17" t="s">
        <v>23</v>
      </c>
      <c r="H8" s="48">
        <v>1.0533999999999999</v>
      </c>
      <c r="I8" s="17" t="s">
        <v>24</v>
      </c>
      <c r="J8" s="48">
        <v>1.0519000000000001</v>
      </c>
    </row>
    <row r="9" spans="1:12" ht="16.5" customHeight="1">
      <c r="A9" s="101"/>
      <c r="B9" s="47" t="s">
        <v>71</v>
      </c>
      <c r="C9" s="47" t="s">
        <v>71</v>
      </c>
      <c r="D9" s="47" t="s">
        <v>89</v>
      </c>
      <c r="E9" s="81" t="s">
        <v>16</v>
      </c>
      <c r="F9" s="83"/>
      <c r="G9" s="81" t="s">
        <v>16</v>
      </c>
      <c r="H9" s="83"/>
      <c r="I9" s="81" t="s">
        <v>16</v>
      </c>
      <c r="J9" s="83"/>
    </row>
    <row r="10" spans="1:12" ht="27" customHeight="1">
      <c r="A10" s="102"/>
      <c r="B10" s="65" t="s">
        <v>72</v>
      </c>
      <c r="C10" s="44" t="s">
        <v>72</v>
      </c>
      <c r="D10" s="44" t="s">
        <v>72</v>
      </c>
      <c r="E10" s="20" t="s">
        <v>65</v>
      </c>
      <c r="F10" s="20" t="s">
        <v>66</v>
      </c>
      <c r="G10" s="20" t="s">
        <v>67</v>
      </c>
      <c r="H10" s="20" t="s">
        <v>68</v>
      </c>
      <c r="I10" s="20" t="s">
        <v>69</v>
      </c>
      <c r="J10" s="20" t="s">
        <v>70</v>
      </c>
    </row>
    <row r="11" spans="1:12" ht="6" customHeight="1">
      <c r="A11" s="23"/>
      <c r="B11" s="23"/>
      <c r="C11" s="23"/>
      <c r="D11" s="23"/>
      <c r="E11" s="8"/>
      <c r="F11" s="8"/>
      <c r="G11" s="8"/>
      <c r="H11" s="8"/>
      <c r="I11" s="8"/>
      <c r="J11" s="8"/>
    </row>
    <row r="12" spans="1:12" ht="19.5" customHeight="1">
      <c r="A12" s="24" t="s">
        <v>1</v>
      </c>
      <c r="B12" s="67"/>
      <c r="C12" s="73"/>
      <c r="D12" s="67"/>
      <c r="E12" s="69">
        <f>+'[1]Receita 2013 a 2016'!$V$1410/1000</f>
        <v>17796421.285190359</v>
      </c>
      <c r="F12" s="69"/>
      <c r="G12" s="69">
        <f>+'[1]Receita 2013 a 2016'!$X$1410/1000</f>
        <v>18895272.071774706</v>
      </c>
      <c r="H12" s="69"/>
      <c r="I12" s="69">
        <f>+'[1]Receita 2013 a 2016'!$Z$1410/1000</f>
        <v>20434961.564971309</v>
      </c>
      <c r="J12" s="69"/>
    </row>
    <row r="13" spans="1:12" ht="15" customHeight="1">
      <c r="A13" s="24" t="s">
        <v>11</v>
      </c>
      <c r="B13" s="25">
        <v>13859350.98557</v>
      </c>
      <c r="C13" s="25">
        <f>15699469121.91/1000</f>
        <v>15699469.12191</v>
      </c>
      <c r="D13" s="25">
        <f>D14+D17+D18</f>
        <v>18977999</v>
      </c>
      <c r="E13" s="25">
        <f t="shared" ref="E13:J13" si="0">E14+E17+E18</f>
        <v>19441695.178552281</v>
      </c>
      <c r="F13" s="25">
        <f t="shared" si="0"/>
        <v>18393278.314618997</v>
      </c>
      <c r="G13" s="25">
        <f t="shared" si="0"/>
        <v>21242360.822774678</v>
      </c>
      <c r="H13" s="25">
        <f t="shared" si="0"/>
        <v>19078071.854883634</v>
      </c>
      <c r="I13" s="25">
        <f t="shared" si="0"/>
        <v>22745650.761005912</v>
      </c>
      <c r="J13" s="25">
        <f t="shared" si="0"/>
        <v>19420285.499377389</v>
      </c>
    </row>
    <row r="14" spans="1:12" ht="15" customHeight="1">
      <c r="A14" s="26" t="s">
        <v>2</v>
      </c>
      <c r="B14" s="26"/>
      <c r="C14" s="49"/>
      <c r="D14" s="68">
        <f>D15+D16</f>
        <v>12329486.35</v>
      </c>
      <c r="E14" s="49">
        <f t="shared" ref="E14:J14" si="1">E15+E16</f>
        <v>12007860.515000001</v>
      </c>
      <c r="F14" s="49">
        <f t="shared" si="1"/>
        <v>11360322.152317882</v>
      </c>
      <c r="G14" s="49">
        <f t="shared" si="1"/>
        <v>13429437.616999999</v>
      </c>
      <c r="H14" s="49">
        <f t="shared" si="1"/>
        <v>12061172.388763584</v>
      </c>
      <c r="I14" s="49">
        <f t="shared" si="1"/>
        <v>14589053.265000001</v>
      </c>
      <c r="J14" s="49">
        <f t="shared" si="1"/>
        <v>12456165.029036701</v>
      </c>
    </row>
    <row r="15" spans="1:12" ht="15" customHeight="1">
      <c r="A15" s="78" t="s">
        <v>88</v>
      </c>
      <c r="B15" s="26"/>
      <c r="C15" s="49"/>
      <c r="D15" s="68">
        <f>(11811792350)/1000</f>
        <v>11811792.35</v>
      </c>
      <c r="E15" s="49">
        <f>('[2]01 - RECEITA 2010 A 2016'!$P$7)/1000</f>
        <v>11633796.454</v>
      </c>
      <c r="F15" s="49">
        <f t="shared" ref="F15:F18" si="2">E15/$F$8</f>
        <v>11006429.947019868</v>
      </c>
      <c r="G15" s="49">
        <f>'[2]01 - RECEITA 2010 A 2016'!$Q$7/1000</f>
        <v>13021628.986</v>
      </c>
      <c r="H15" s="49">
        <f>G15/$H$8/$F$8</f>
        <v>11694913.551990682</v>
      </c>
      <c r="I15" s="49">
        <f>'[2]01 - RECEITA 2010 A 2016'!$R$7/1000</f>
        <v>14157467.527000001</v>
      </c>
      <c r="J15" s="49">
        <f>I15/$J$8/$H$8/$F$8</f>
        <v>12087676.198469216</v>
      </c>
      <c r="L15" s="4"/>
    </row>
    <row r="16" spans="1:12" ht="15" customHeight="1">
      <c r="A16" s="78" t="s">
        <v>87</v>
      </c>
      <c r="B16" s="26"/>
      <c r="C16" s="49"/>
      <c r="D16" s="68">
        <f>67212+54640+385915+9927</f>
        <v>517694</v>
      </c>
      <c r="E16" s="49">
        <f>('[2]01 - RECEITA 2010 A 2016'!$P$627+'[2]01 - RECEITA 2010 A 2016'!$P$661+'[2]01 - RECEITA 2010 A 2016'!$P$858+'[2]01 - RECEITA 2010 A 2016'!$P$905)/1000</f>
        <v>374064.06099999999</v>
      </c>
      <c r="F16" s="49">
        <f t="shared" si="2"/>
        <v>353892.20529801323</v>
      </c>
      <c r="G16" s="49">
        <f>('[2]01 - RECEITA 2010 A 2016'!$Q$627+'[2]01 - RECEITA 2010 A 2016'!$Q$661+'[2]01 - RECEITA 2010 A 2016'!$Q$858+'[2]01 - RECEITA 2010 A 2016'!$Q$905)/1000</f>
        <v>407808.63099999999</v>
      </c>
      <c r="H16" s="49">
        <f>G16/$H$8/$F$8</f>
        <v>366258.83677290229</v>
      </c>
      <c r="I16" s="49">
        <f>('[2]01 - RECEITA 2010 A 2016'!$R$627+'[2]01 - RECEITA 2010 A 2016'!$R$661+'[2]01 - RECEITA 2010 A 2016'!$R$858+'[2]01 - RECEITA 2010 A 2016'!$R$905)/1000</f>
        <v>431585.73800000001</v>
      </c>
      <c r="J16" s="49">
        <f>I16/$J$8/$H$8/$F$8</f>
        <v>368488.83056748484</v>
      </c>
    </row>
    <row r="17" spans="1:12" ht="15" customHeight="1">
      <c r="A17" s="26" t="s">
        <v>15</v>
      </c>
      <c r="B17" s="26"/>
      <c r="C17" s="49"/>
      <c r="D17" s="68">
        <v>0</v>
      </c>
      <c r="E17" s="49">
        <v>0</v>
      </c>
      <c r="F17" s="49">
        <f t="shared" si="2"/>
        <v>0</v>
      </c>
      <c r="G17" s="49">
        <v>0</v>
      </c>
      <c r="H17" s="49">
        <f>G17/$H$8/$F$8</f>
        <v>0</v>
      </c>
      <c r="I17" s="49">
        <v>0</v>
      </c>
      <c r="J17" s="49">
        <f>I17/$J$8/$H$8/$F$8</f>
        <v>0</v>
      </c>
    </row>
    <row r="18" spans="1:12" ht="15" customHeight="1">
      <c r="A18" s="26" t="s">
        <v>46</v>
      </c>
      <c r="B18" s="26"/>
      <c r="C18" s="49"/>
      <c r="D18" s="68">
        <f>18977999-D14</f>
        <v>6648512.6500000004</v>
      </c>
      <c r="E18" s="68">
        <f>('[2]01 - RECEITA 2010 A 2016'!$P$1198/1000)-E14-E17</f>
        <v>7433834.6635522805</v>
      </c>
      <c r="F18" s="50">
        <f t="shared" si="2"/>
        <v>7032956.1623011176</v>
      </c>
      <c r="G18" s="68">
        <f>('[2]01 - RECEITA 2010 A 2016'!$Q$1198/1000)-G14-G17</f>
        <v>7812923.2057746798</v>
      </c>
      <c r="H18" s="49">
        <f>G18/$H$8/$F$8</f>
        <v>7016899.4661200512</v>
      </c>
      <c r="I18" s="68">
        <f>('[2]01 - RECEITA 2010 A 2016'!$R$1198/1000)-I14-I17</f>
        <v>8156597.4960059114</v>
      </c>
      <c r="J18" s="49">
        <f>I18/$J$8/$H$8/$F$8</f>
        <v>6964120.4703406887</v>
      </c>
    </row>
    <row r="19" spans="1:12" ht="15" customHeight="1">
      <c r="A19" s="24" t="s">
        <v>3</v>
      </c>
      <c r="B19" s="25">
        <f t="shared" ref="B19:J19" si="3">B20+B21+B22+B23</f>
        <v>500430.92500000005</v>
      </c>
      <c r="C19" s="25">
        <f t="shared" si="3"/>
        <v>615561.85557000001</v>
      </c>
      <c r="D19" s="25">
        <f t="shared" si="3"/>
        <v>1170700</v>
      </c>
      <c r="E19" s="25">
        <f t="shared" si="3"/>
        <v>1491982.1250639202</v>
      </c>
      <c r="F19" s="25">
        <f t="shared" si="3"/>
        <v>1411525.1892752321</v>
      </c>
      <c r="G19" s="25">
        <f t="shared" si="3"/>
        <v>1379072.64910177</v>
      </c>
      <c r="H19" s="25">
        <f t="shared" si="3"/>
        <v>1238565.1158161464</v>
      </c>
      <c r="I19" s="25">
        <f t="shared" si="3"/>
        <v>1379072.64910177</v>
      </c>
      <c r="J19" s="25">
        <f t="shared" si="3"/>
        <v>1177455.1913833504</v>
      </c>
    </row>
    <row r="20" spans="1:12" ht="15" customHeight="1">
      <c r="A20" s="27" t="s">
        <v>61</v>
      </c>
      <c r="B20" s="49">
        <v>313385.41700000002</v>
      </c>
      <c r="C20" s="49">
        <f>369894927.82/1000</f>
        <v>369894.92781999998</v>
      </c>
      <c r="D20" s="68">
        <v>138800</v>
      </c>
      <c r="E20" s="49">
        <f>('[2]01 - RECEITA 2010 A 2016'!$P$248+'[2]01 - RECEITA 2010 A 2016'!$P$336)/1000</f>
        <v>152579.18180137497</v>
      </c>
      <c r="F20" s="49">
        <f>E20/$F$8</f>
        <v>144351.16537499998</v>
      </c>
      <c r="G20" s="49">
        <f>('[2]01 - RECEITA 2010 A 2016'!$Q$248+'[2]01 - RECEITA 2010 A 2016'!$Q$336)/1000</f>
        <v>166416.64272744712</v>
      </c>
      <c r="H20" s="49">
        <f>G20/$H$8/$F$8</f>
        <v>149461.19662927499</v>
      </c>
      <c r="I20" s="49">
        <f>('[2]01 - RECEITA 2010 A 2016'!$Q$248+'[2]01 - RECEITA 2010 A 2016'!$Q$336)/1000</f>
        <v>166416.64272744712</v>
      </c>
      <c r="J20" s="49">
        <f>I20/$J$8/$H$8/$F$8</f>
        <v>142086.88718440439</v>
      </c>
    </row>
    <row r="21" spans="1:12" ht="15" customHeight="1">
      <c r="A21" s="27" t="s">
        <v>63</v>
      </c>
      <c r="B21" s="49">
        <v>153228.64600000001</v>
      </c>
      <c r="C21" s="49">
        <f>213334526/1000</f>
        <v>213334.52600000001</v>
      </c>
      <c r="D21" s="68">
        <v>1007504</v>
      </c>
      <c r="E21" s="49">
        <f>'[2]01 - RECEITA 2010 A 2016'!$P$953/1000</f>
        <v>1312713.5228900001</v>
      </c>
      <c r="F21" s="49">
        <f>E21/$F$8</f>
        <v>1241923.862715232</v>
      </c>
      <c r="G21" s="49">
        <f>'[2]01 - RECEITA 2010 A 2016'!$Q$953/1000</f>
        <v>1183546.1128600002</v>
      </c>
      <c r="H21" s="49">
        <f>G21/$H$8/$F$8</f>
        <v>1062959.9022959224</v>
      </c>
      <c r="I21" s="49">
        <f>'[2]01 - RECEITA 2010 A 2016'!$Q$953/1000</f>
        <v>1183546.1128600002</v>
      </c>
      <c r="J21" s="49">
        <f>I21/$J$8/$H$8/$F$8</f>
        <v>1010514.2145602455</v>
      </c>
    </row>
    <row r="22" spans="1:12" ht="15" customHeight="1">
      <c r="A22" s="27" t="s">
        <v>64</v>
      </c>
      <c r="B22" s="49">
        <v>28402.325000000001</v>
      </c>
      <c r="C22" s="49">
        <f>13481165.17/1000</f>
        <v>13481.16517</v>
      </c>
      <c r="D22" s="68">
        <v>15915</v>
      </c>
      <c r="E22" s="49">
        <f>'[2]01 - RECEITA 2010 A 2016'!$P$1006/1000</f>
        <v>17411.021226584999</v>
      </c>
      <c r="F22" s="49">
        <f>E22/$F$8</f>
        <v>16472.110905000001</v>
      </c>
      <c r="G22" s="49">
        <f>'[2]01 - RECEITA 2010 A 2016'!$Q$1006/1000</f>
        <v>18990.033009591632</v>
      </c>
      <c r="H22" s="49">
        <f>G22/$H$8/$F$8</f>
        <v>17055.223631036999</v>
      </c>
      <c r="I22" s="49">
        <f>'[2]01 - RECEITA 2010 A 2016'!$Q$1006/1000</f>
        <v>18990.033009591632</v>
      </c>
      <c r="J22" s="49">
        <f>I22/$J$8/$H$8/$F$8</f>
        <v>16213.730992524954</v>
      </c>
    </row>
    <row r="23" spans="1:12" ht="15" customHeight="1">
      <c r="A23" s="27" t="s">
        <v>4</v>
      </c>
      <c r="B23" s="49">
        <v>5414.5370000000003</v>
      </c>
      <c r="C23" s="49">
        <f>18851236.58/1000</f>
        <v>18851.236579999997</v>
      </c>
      <c r="D23" s="68">
        <v>8481</v>
      </c>
      <c r="E23" s="49">
        <f>'[2]01 - RECEITA 2010 A 2016'!$P$1024/1000</f>
        <v>9278.3991459600002</v>
      </c>
      <c r="F23" s="49">
        <f>E23/$F$8</f>
        <v>8778.0502800000013</v>
      </c>
      <c r="G23" s="49">
        <f>'[2]01 - RECEITA 2010 A 2016'!$Q$1024/1000</f>
        <v>10119.860504730803</v>
      </c>
      <c r="H23" s="49">
        <f>G23/$H$8/$F$8</f>
        <v>9088.7932599119995</v>
      </c>
      <c r="I23" s="49">
        <f>'[2]01 - RECEITA 2010 A 2016'!$Q$1024/1000</f>
        <v>10119.860504730803</v>
      </c>
      <c r="J23" s="49">
        <f>I23/$J$8/$H$8/$F$8</f>
        <v>8640.3586461754912</v>
      </c>
    </row>
    <row r="24" spans="1:12" s="3" customFormat="1" ht="20.100000000000001" customHeight="1">
      <c r="A24" s="17" t="s">
        <v>12</v>
      </c>
      <c r="B24" s="51">
        <v>13358920.06057</v>
      </c>
      <c r="C24" s="51">
        <f>C13-C19</f>
        <v>15083907.266340001</v>
      </c>
      <c r="D24" s="51">
        <f>D13-D19</f>
        <v>17807299</v>
      </c>
      <c r="E24" s="51">
        <f t="shared" ref="E24:J24" si="4">E13-E19</f>
        <v>17949713.053488363</v>
      </c>
      <c r="F24" s="51">
        <f t="shared" si="4"/>
        <v>16981753.125343766</v>
      </c>
      <c r="G24" s="51">
        <f t="shared" si="4"/>
        <v>19863288.173672907</v>
      </c>
      <c r="H24" s="51">
        <f t="shared" si="4"/>
        <v>17839506.739067487</v>
      </c>
      <c r="I24" s="51">
        <f t="shared" si="4"/>
        <v>21366578.111904141</v>
      </c>
      <c r="J24" s="51">
        <f t="shared" si="4"/>
        <v>18242830.307994038</v>
      </c>
    </row>
    <row r="25" spans="1:12" s="3" customFormat="1" ht="6" customHeight="1">
      <c r="A25" s="27"/>
      <c r="B25" s="27"/>
      <c r="C25" s="27"/>
      <c r="D25" s="28"/>
      <c r="E25" s="28"/>
      <c r="F25" s="28"/>
      <c r="G25" s="28"/>
      <c r="H25" s="28"/>
      <c r="I25" s="28"/>
      <c r="J25" s="28"/>
    </row>
    <row r="26" spans="1:12" ht="20.100000000000001" customHeight="1">
      <c r="A26" s="24" t="s">
        <v>5</v>
      </c>
      <c r="B26" s="24"/>
      <c r="C26" s="28"/>
      <c r="D26" s="28"/>
      <c r="E26" s="28"/>
      <c r="F26" s="28"/>
      <c r="G26" s="28"/>
      <c r="H26" s="28"/>
      <c r="I26" s="28"/>
      <c r="J26" s="28"/>
    </row>
    <row r="27" spans="1:12" ht="15" customHeight="1">
      <c r="A27" s="29" t="s">
        <v>13</v>
      </c>
      <c r="B27" s="25">
        <v>13808066.434299998</v>
      </c>
      <c r="C27" s="25">
        <f t="shared" ref="C27:J27" si="5">C28+C29</f>
        <v>15817455.963769998</v>
      </c>
      <c r="D27" s="25">
        <f t="shared" si="5"/>
        <v>18977999</v>
      </c>
      <c r="E27" s="25">
        <f t="shared" si="5"/>
        <v>19441695.178552277</v>
      </c>
      <c r="F27" s="25">
        <f t="shared" si="5"/>
        <v>18393278.314618997</v>
      </c>
      <c r="G27" s="25">
        <f t="shared" si="5"/>
        <v>21242360.822774678</v>
      </c>
      <c r="H27" s="25">
        <f t="shared" si="5"/>
        <v>19078071.854883634</v>
      </c>
      <c r="I27" s="25">
        <f t="shared" si="5"/>
        <v>22745650.761005916</v>
      </c>
      <c r="J27" s="25">
        <f t="shared" si="5"/>
        <v>19420285.499377396</v>
      </c>
    </row>
    <row r="28" spans="1:12" ht="15" customHeight="1">
      <c r="A28" s="27" t="s">
        <v>47</v>
      </c>
      <c r="B28" s="49">
        <v>7779175.1022299994</v>
      </c>
      <c r="C28" s="49">
        <f>(8655571558.01+10085771.8)/1000</f>
        <v>8665657.3298099991</v>
      </c>
      <c r="D28" s="68">
        <v>8793844</v>
      </c>
      <c r="E28" s="49">
        <f>'[2]03-DESPESA RESUMIDA '!$K$7/1000</f>
        <v>10054730.219586451</v>
      </c>
      <c r="F28" s="49">
        <f>E28/$F$8</f>
        <v>9512516.7640363779</v>
      </c>
      <c r="G28" s="49">
        <f>'[2]03-DESPESA RESUMIDA '!$M$7/1000</f>
        <v>10169691.012879353</v>
      </c>
      <c r="H28" s="49">
        <f>G28/$H$8/$F$8</f>
        <v>9133546.7608507536</v>
      </c>
      <c r="I28" s="49">
        <f>'[2]03-DESPESA RESUMIDA '!$O$7/1000</f>
        <v>9612305.3649167642</v>
      </c>
      <c r="J28" s="49">
        <f>I28/$J$8/$H$8/$F$8</f>
        <v>8207006.9770835182</v>
      </c>
    </row>
    <row r="29" spans="1:12" ht="15" customHeight="1">
      <c r="A29" s="27" t="s">
        <v>48</v>
      </c>
      <c r="B29" s="50">
        <v>6028891.3320699995</v>
      </c>
      <c r="C29" s="49">
        <f>(146470781.14+633.25+4365132169.44+613294169.09+1689685687.11+337215193.93)/1000</f>
        <v>7151798.6339600002</v>
      </c>
      <c r="D29" s="68">
        <f>18977999-D28</f>
        <v>10184155</v>
      </c>
      <c r="E29" s="49">
        <f>('[2]03-DESPESA RESUMIDA '!$K$16-'[2]03-DESPESA RESUMIDA '!$K$7)/1000</f>
        <v>9386964.9589658268</v>
      </c>
      <c r="F29" s="49">
        <f>E29/$F$8</f>
        <v>8880761.5505826175</v>
      </c>
      <c r="G29" s="49">
        <f>('[2]03-DESPESA RESUMIDA '!$M$16-'[2]03-DESPESA RESUMIDA '!$M$7)/1000</f>
        <v>11072669.809895325</v>
      </c>
      <c r="H29" s="49">
        <f>G29/$H$8/$F$8</f>
        <v>9944525.0940328799</v>
      </c>
      <c r="I29" s="49">
        <f>('[2]03-DESPESA RESUMIDA '!$O$16-'[2]03-DESPESA RESUMIDA '!$O$7)/1000</f>
        <v>13133345.39608915</v>
      </c>
      <c r="J29" s="49">
        <f>I29/$J$8/$H$8/$F$8</f>
        <v>11213278.522293877</v>
      </c>
    </row>
    <row r="30" spans="1:12" ht="15" customHeight="1">
      <c r="A30" s="29" t="s">
        <v>6</v>
      </c>
      <c r="B30" s="25">
        <f t="shared" ref="B30:J30" si="6">B31+B32+B33+B34</f>
        <v>460939.66816</v>
      </c>
      <c r="C30" s="25">
        <f t="shared" si="6"/>
        <v>419430.05838</v>
      </c>
      <c r="D30" s="25">
        <f t="shared" si="6"/>
        <v>662635</v>
      </c>
      <c r="E30" s="25">
        <f t="shared" si="6"/>
        <v>588571.96699999995</v>
      </c>
      <c r="F30" s="25">
        <f t="shared" si="6"/>
        <v>556832.51371807011</v>
      </c>
      <c r="G30" s="25">
        <f t="shared" ref="G30" si="7">G31+G32+G33+G34</f>
        <v>718056.31700000004</v>
      </c>
      <c r="H30" s="25">
        <f t="shared" si="6"/>
        <v>644896.7761102987</v>
      </c>
      <c r="I30" s="25">
        <f t="shared" ref="I30" si="8">I31+I32+I33+I34</f>
        <v>831676.67400000012</v>
      </c>
      <c r="J30" s="25">
        <f t="shared" si="6"/>
        <v>710087.33150611038</v>
      </c>
    </row>
    <row r="31" spans="1:12" ht="15" customHeight="1">
      <c r="A31" s="27" t="s">
        <v>49</v>
      </c>
      <c r="B31" s="49">
        <v>146862.63149999999</v>
      </c>
      <c r="C31" s="49">
        <f>(146470781.14+633.25)/1000</f>
        <v>146471.41438999999</v>
      </c>
      <c r="D31" s="68">
        <v>194746</v>
      </c>
      <c r="E31" s="49">
        <f>'[2]03-DESPESA RESUMIDA '!$K$8/1000</f>
        <v>256716.58300000001</v>
      </c>
      <c r="F31" s="49">
        <f>E31/$F$8</f>
        <v>242872.83159886475</v>
      </c>
      <c r="G31" s="49">
        <f>'[2]03-DESPESA RESUMIDA '!$M$8/1000</f>
        <v>317818.73800000001</v>
      </c>
      <c r="H31" s="49">
        <f>G31/$H$8/$F$8</f>
        <v>285437.6107711948</v>
      </c>
      <c r="I31" s="49">
        <f>'[2]03-DESPESA RESUMIDA '!$O$8/1000</f>
        <v>352190.97899999999</v>
      </c>
      <c r="J31" s="49">
        <f>I31/$J$8/$H$8/$F$8</f>
        <v>300701.41471664567</v>
      </c>
      <c r="L31" s="4"/>
    </row>
    <row r="32" spans="1:12" ht="15" customHeight="1">
      <c r="A32" s="27" t="s">
        <v>50</v>
      </c>
      <c r="B32" s="49">
        <v>143888.07483000003</v>
      </c>
      <c r="C32" s="49">
        <f>162269085.09/1000</f>
        <v>162269.08509000001</v>
      </c>
      <c r="D32" s="68">
        <v>193104</v>
      </c>
      <c r="E32" s="49">
        <f>'[2]03-DESPESA RESUMIDA '!$K$13/1000</f>
        <v>213801.41899999999</v>
      </c>
      <c r="F32" s="49">
        <f>E32/$F$8</f>
        <v>202271.91958372755</v>
      </c>
      <c r="G32" s="49">
        <f>'[2]03-DESPESA RESUMIDA '!$M$13/1000</f>
        <v>276155.47600000002</v>
      </c>
      <c r="H32" s="49">
        <f>G32/$H$8/$F$8</f>
        <v>248019.23186423964</v>
      </c>
      <c r="I32" s="49">
        <f>'[2]03-DESPESA RESUMIDA '!$O$13/1000</f>
        <v>349161.12800000003</v>
      </c>
      <c r="J32" s="49">
        <f>I32/$J$8/$H$8/$F$8</f>
        <v>298114.52142179891</v>
      </c>
    </row>
    <row r="33" spans="1:10" ht="15" customHeight="1">
      <c r="A33" s="27" t="s">
        <v>7</v>
      </c>
      <c r="B33" s="49">
        <v>170188.96183000001</v>
      </c>
      <c r="C33" s="49">
        <f>110689558.9/1000</f>
        <v>110689.5589</v>
      </c>
      <c r="D33" s="79">
        <v>274785</v>
      </c>
      <c r="E33" s="49">
        <f>'[2]03-DESPESA RESUMIDA '!$K$37/1000</f>
        <v>118053.965</v>
      </c>
      <c r="F33" s="49">
        <f>E33/$F$8</f>
        <v>111687.76253547777</v>
      </c>
      <c r="G33" s="49">
        <f>'[2]03-DESPESA RESUMIDA '!$M$37/1000</f>
        <v>124082.103</v>
      </c>
      <c r="H33" s="49">
        <f>G33/$H$8/$F$8</f>
        <v>111439.93347486421</v>
      </c>
      <c r="I33" s="49">
        <f>'[2]03-DESPESA RESUMIDA '!$O$37/1000</f>
        <v>130324.567</v>
      </c>
      <c r="J33" s="49">
        <f>I33/$J$8/$H$8/$F$8</f>
        <v>111271.3953676658</v>
      </c>
    </row>
    <row r="34" spans="1:10" ht="15" customHeight="1">
      <c r="A34" s="27" t="s">
        <v>8</v>
      </c>
      <c r="B34" s="49">
        <v>0</v>
      </c>
      <c r="C34" s="49"/>
      <c r="D34" s="79">
        <v>0</v>
      </c>
      <c r="E34" s="49">
        <v>0</v>
      </c>
      <c r="F34" s="49">
        <f>E34/$F$8</f>
        <v>0</v>
      </c>
      <c r="G34" s="49">
        <v>0</v>
      </c>
      <c r="H34" s="50">
        <v>0</v>
      </c>
      <c r="I34" s="49">
        <v>0</v>
      </c>
      <c r="J34" s="49">
        <f>I34/$J$8/$H$8/$F$8</f>
        <v>0</v>
      </c>
    </row>
    <row r="35" spans="1:10" ht="20.100000000000001" customHeight="1">
      <c r="A35" s="18" t="s">
        <v>14</v>
      </c>
      <c r="B35" s="52">
        <v>13347126.766139997</v>
      </c>
      <c r="C35" s="52">
        <f t="shared" ref="C35:I35" si="9">C27-C30</f>
        <v>15398025.905389998</v>
      </c>
      <c r="D35" s="52">
        <f t="shared" si="9"/>
        <v>18315364</v>
      </c>
      <c r="E35" s="52">
        <f t="shared" si="9"/>
        <v>18853123.211552277</v>
      </c>
      <c r="F35" s="53">
        <f t="shared" ref="F35:F39" si="10">E35/$F$8</f>
        <v>17836445.800900925</v>
      </c>
      <c r="G35" s="52">
        <f t="shared" si="9"/>
        <v>20524304.505774677</v>
      </c>
      <c r="H35" s="53">
        <f t="shared" ref="H35:H39" si="11">G35/$H$8/$F$8</f>
        <v>18433175.078773335</v>
      </c>
      <c r="I35" s="52">
        <f t="shared" si="9"/>
        <v>21913974.087005917</v>
      </c>
      <c r="J35" s="53">
        <f t="shared" ref="J35:J39" si="12">I35/$J$8/$H$8/$F$8</f>
        <v>18710198.167871282</v>
      </c>
    </row>
    <row r="36" spans="1:10" ht="20.100000000000001" customHeight="1">
      <c r="A36" s="17" t="s">
        <v>28</v>
      </c>
      <c r="B36" s="53">
        <v>11793.29443000257</v>
      </c>
      <c r="C36" s="53">
        <f t="shared" ref="C36:I36" si="13">C24-C35</f>
        <v>-314118.63904999755</v>
      </c>
      <c r="D36" s="53">
        <f t="shared" si="13"/>
        <v>-508065</v>
      </c>
      <c r="E36" s="53">
        <f t="shared" si="13"/>
        <v>-903410.15806391463</v>
      </c>
      <c r="F36" s="53">
        <f t="shared" si="10"/>
        <v>-854692.67555715679</v>
      </c>
      <c r="G36" s="53">
        <f t="shared" si="13"/>
        <v>-661016.33210176975</v>
      </c>
      <c r="H36" s="53">
        <f t="shared" si="11"/>
        <v>-593668.33970584767</v>
      </c>
      <c r="I36" s="53">
        <f t="shared" si="13"/>
        <v>-547395.97510177642</v>
      </c>
      <c r="J36" s="53">
        <f t="shared" si="12"/>
        <v>-467367.85987724562</v>
      </c>
    </row>
    <row r="37" spans="1:10" ht="20.100000000000001" customHeight="1">
      <c r="A37" s="24" t="s">
        <v>74</v>
      </c>
      <c r="B37" s="53">
        <v>269281</v>
      </c>
      <c r="C37" s="53">
        <f>-613928054.37/1000</f>
        <v>-613928.05437000003</v>
      </c>
      <c r="D37" s="53">
        <f>B37</f>
        <v>269281</v>
      </c>
      <c r="E37" s="54">
        <f>E39-D39</f>
        <v>1956211.4634700001</v>
      </c>
      <c r="F37" s="53">
        <f t="shared" si="10"/>
        <v>1850720.4006338697</v>
      </c>
      <c r="G37" s="54">
        <f>G39-E39</f>
        <v>871703.4160000002</v>
      </c>
      <c r="H37" s="53">
        <f t="shared" si="11"/>
        <v>782889.46060860937</v>
      </c>
      <c r="I37" s="54">
        <f>I39-G39</f>
        <v>561840.24899999984</v>
      </c>
      <c r="J37" s="53">
        <f t="shared" si="12"/>
        <v>479700.41197180247</v>
      </c>
    </row>
    <row r="38" spans="1:10" ht="20.100000000000001" customHeight="1">
      <c r="A38" s="17" t="s">
        <v>59</v>
      </c>
      <c r="B38" s="53">
        <v>4234211.6146799996</v>
      </c>
      <c r="C38" s="53">
        <f>4430824187.59/1000</f>
        <v>4430824.1875900002</v>
      </c>
      <c r="D38" s="53">
        <f>B38</f>
        <v>4234211.6146799996</v>
      </c>
      <c r="E38" s="53">
        <f>6464489837/1000</f>
        <v>6464489.8370000003</v>
      </c>
      <c r="F38" s="53">
        <f t="shared" si="10"/>
        <v>6115884.4247871339</v>
      </c>
      <c r="G38" s="53">
        <f>7459264215/1000</f>
        <v>7459264.2149999999</v>
      </c>
      <c r="H38" s="53">
        <f t="shared" si="11"/>
        <v>6699273.2053472307</v>
      </c>
      <c r="I38" s="53">
        <f>8149454502/1000</f>
        <v>8149454.5020000003</v>
      </c>
      <c r="J38" s="53">
        <f t="shared" si="12"/>
        <v>6958021.7667083908</v>
      </c>
    </row>
    <row r="39" spans="1:10" ht="20.100000000000001" customHeight="1">
      <c r="A39" s="17" t="s">
        <v>58</v>
      </c>
      <c r="B39" s="53">
        <v>2046859.1275299999</v>
      </c>
      <c r="C39" s="53">
        <f>1432931073.16/1000</f>
        <v>1432931.0731600001</v>
      </c>
      <c r="D39" s="53">
        <f>B39</f>
        <v>2046859.1275299999</v>
      </c>
      <c r="E39" s="53">
        <f>4003070591/1000</f>
        <v>4003070.591</v>
      </c>
      <c r="F39" s="53">
        <f t="shared" si="10"/>
        <v>3787200.1807000949</v>
      </c>
      <c r="G39" s="53">
        <f>4874774007/1000</f>
        <v>4874774.0070000002</v>
      </c>
      <c r="H39" s="53">
        <f t="shared" si="11"/>
        <v>4378105.1248388113</v>
      </c>
      <c r="I39" s="53">
        <f>5436614256/1000</f>
        <v>5436614.2560000001</v>
      </c>
      <c r="J39" s="53">
        <f t="shared" si="12"/>
        <v>4641792.9348720899</v>
      </c>
    </row>
    <row r="40" spans="1:10">
      <c r="A40" s="12"/>
      <c r="B40" s="12"/>
      <c r="C40" s="12"/>
      <c r="D40" s="12"/>
      <c r="E40" s="36"/>
      <c r="F40" s="36"/>
      <c r="G40" s="36"/>
      <c r="H40" s="36"/>
      <c r="I40" s="36"/>
      <c r="J40" s="10"/>
    </row>
    <row r="41" spans="1:10">
      <c r="A41" s="13" t="s">
        <v>9</v>
      </c>
      <c r="B41" s="13"/>
      <c r="C41" s="13"/>
      <c r="D41" s="76"/>
      <c r="E41" s="75"/>
      <c r="F41" s="30"/>
      <c r="G41" s="31"/>
      <c r="H41" s="32">
        <v>-1497792.6264175698</v>
      </c>
      <c r="I41" s="31"/>
      <c r="J41" s="32">
        <v>-960434.98291250691</v>
      </c>
    </row>
    <row r="42" spans="1:10" ht="27" customHeight="1">
      <c r="A42" s="97" t="s">
        <v>83</v>
      </c>
      <c r="B42" s="97"/>
      <c r="C42" s="97"/>
      <c r="D42" s="97"/>
      <c r="E42" s="97"/>
      <c r="F42" s="97"/>
      <c r="G42" s="97"/>
      <c r="H42" s="97"/>
      <c r="I42" s="97"/>
      <c r="J42" s="97"/>
    </row>
    <row r="43" spans="1:10" ht="26.45" customHeight="1">
      <c r="A43" s="97" t="s">
        <v>79</v>
      </c>
      <c r="B43" s="97"/>
      <c r="C43" s="97"/>
      <c r="D43" s="97"/>
      <c r="E43" s="97"/>
      <c r="F43" s="97"/>
      <c r="G43" s="97"/>
      <c r="H43" s="97"/>
      <c r="I43" s="97"/>
      <c r="J43" s="97"/>
    </row>
    <row r="44" spans="1:10" ht="15" customHeight="1">
      <c r="A44" s="97" t="s">
        <v>76</v>
      </c>
      <c r="B44" s="97"/>
      <c r="C44" s="97"/>
      <c r="D44" s="97"/>
      <c r="E44" s="97"/>
      <c r="F44" s="97"/>
      <c r="G44" s="97"/>
      <c r="H44" s="97"/>
      <c r="I44" s="97"/>
      <c r="J44" s="97"/>
    </row>
    <row r="45" spans="1:10" ht="26.45" customHeight="1">
      <c r="A45" s="97" t="s">
        <v>78</v>
      </c>
      <c r="B45" s="97"/>
      <c r="C45" s="97"/>
      <c r="D45" s="97"/>
      <c r="E45" s="97"/>
      <c r="F45" s="97"/>
      <c r="G45" s="97"/>
      <c r="H45" s="97"/>
      <c r="I45" s="97"/>
      <c r="J45" s="97"/>
    </row>
    <row r="46" spans="1:10" ht="26.45" customHeight="1">
      <c r="A46" s="97" t="s">
        <v>77</v>
      </c>
      <c r="B46" s="97"/>
      <c r="C46" s="97"/>
      <c r="D46" s="97"/>
      <c r="E46" s="97"/>
      <c r="F46" s="97"/>
      <c r="G46" s="97"/>
      <c r="H46" s="97"/>
      <c r="I46" s="97"/>
      <c r="J46" s="97"/>
    </row>
    <row r="47" spans="1:10" ht="55.5" customHeight="1">
      <c r="A47" s="97" t="s">
        <v>86</v>
      </c>
      <c r="B47" s="97"/>
      <c r="C47" s="97"/>
      <c r="D47" s="97"/>
      <c r="E47" s="97"/>
      <c r="F47" s="97"/>
      <c r="G47" s="97"/>
      <c r="H47" s="97"/>
      <c r="I47" s="97"/>
      <c r="J47" s="97"/>
    </row>
    <row r="48" spans="1:10">
      <c r="A48" s="14" t="s">
        <v>10</v>
      </c>
      <c r="B48" s="14"/>
      <c r="C48" s="14"/>
      <c r="D48" s="14"/>
      <c r="E48" s="15"/>
      <c r="F48" s="15"/>
      <c r="G48" s="10"/>
      <c r="H48" s="10"/>
      <c r="I48" s="10"/>
      <c r="J48" s="10"/>
    </row>
    <row r="49" spans="1:10" ht="15" customHeight="1">
      <c r="A49" s="94" t="s">
        <v>75</v>
      </c>
      <c r="B49" s="94"/>
      <c r="C49" s="94"/>
      <c r="D49" s="94"/>
      <c r="E49" s="94"/>
      <c r="F49" s="94"/>
      <c r="G49" s="94"/>
      <c r="H49" s="94"/>
      <c r="I49" s="94"/>
      <c r="J49" s="94"/>
    </row>
    <row r="50" spans="1:10" ht="15" customHeight="1">
      <c r="A50" s="95" t="s">
        <v>25</v>
      </c>
      <c r="B50" s="95"/>
      <c r="C50" s="95"/>
      <c r="D50" s="95"/>
      <c r="E50" s="95"/>
      <c r="F50" s="95"/>
      <c r="G50" s="95"/>
      <c r="H50" s="95"/>
      <c r="I50" s="95"/>
      <c r="J50" s="95"/>
    </row>
    <row r="51" spans="1:10" ht="15" customHeight="1">
      <c r="A51" s="96" t="s">
        <v>84</v>
      </c>
      <c r="B51" s="94"/>
      <c r="C51" s="94"/>
      <c r="D51" s="94"/>
      <c r="E51" s="94"/>
      <c r="F51" s="94"/>
      <c r="G51" s="94"/>
      <c r="H51" s="94"/>
      <c r="I51" s="94"/>
      <c r="J51" s="94"/>
    </row>
    <row r="52" spans="1:10" ht="15" customHeight="1">
      <c r="A52" s="94" t="s">
        <v>73</v>
      </c>
      <c r="B52" s="94"/>
      <c r="C52" s="94"/>
      <c r="D52" s="94"/>
      <c r="E52" s="94"/>
      <c r="F52" s="94"/>
      <c r="G52" s="94"/>
      <c r="H52" s="94"/>
      <c r="I52" s="94"/>
      <c r="J52" s="94"/>
    </row>
  </sheetData>
  <mergeCells count="21">
    <mergeCell ref="A1:J1"/>
    <mergeCell ref="A2:J2"/>
    <mergeCell ref="A3:J3"/>
    <mergeCell ref="A4:J4"/>
    <mergeCell ref="A6:A10"/>
    <mergeCell ref="G6:H6"/>
    <mergeCell ref="G9:H9"/>
    <mergeCell ref="I6:J6"/>
    <mergeCell ref="E6:F6"/>
    <mergeCell ref="A49:J49"/>
    <mergeCell ref="A50:J50"/>
    <mergeCell ref="A51:J51"/>
    <mergeCell ref="A52:J52"/>
    <mergeCell ref="I9:J9"/>
    <mergeCell ref="A42:J42"/>
    <mergeCell ref="A43:J43"/>
    <mergeCell ref="A44:J44"/>
    <mergeCell ref="A45:J45"/>
    <mergeCell ref="E9:F9"/>
    <mergeCell ref="A47:J47"/>
    <mergeCell ref="A46:J46"/>
  </mergeCells>
  <printOptions horizontalCentered="1"/>
  <pageMargins left="0.15748031496062992" right="0.19685039370078741" top="0.35433070866141736" bottom="0.19685039370078741" header="0.11811023622047245" footer="0.15748031496062992"/>
  <pageSetup paperSize="9" scale="61" orientation="landscape" horizontalDpi="300" verticalDpi="300" r:id="rId1"/>
  <headerFooter alignWithMargins="0"/>
  <ignoredErrors>
    <ignoredError sqref="F15 F19:J19 H15 J15 F16 H16 J16 F17:G17 I17:J17 F18 H18 J18 F24:J27 F20:F23 H20:H23 J20:J23 F34:J37 F28:F33 H28:H33 J28:J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Metas Anuais</vt:lpstr>
      <vt:lpstr>Metodologia Metas Anuais</vt:lpstr>
      <vt:lpstr>'Metas Anuais'!Area_de_impressao</vt:lpstr>
      <vt:lpstr>'Metodologia Metas Anuais'!Area_de_impressao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446424</dc:creator>
  <cp:lastModifiedBy>marcelo.cadete</cp:lastModifiedBy>
  <cp:lastPrinted>2013-05-14T21:49:39Z</cp:lastPrinted>
  <dcterms:created xsi:type="dcterms:W3CDTF">2005-03-21T19:05:07Z</dcterms:created>
  <dcterms:modified xsi:type="dcterms:W3CDTF">2013-05-15T22:14:41Z</dcterms:modified>
</cp:coreProperties>
</file>